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lentina.mulchi\Downloads\"/>
    </mc:Choice>
  </mc:AlternateContent>
  <xr:revisionPtr revIDLastSave="0" documentId="8_{A72FBEB6-4AE7-4290-B573-E818433C97A5}" xr6:coauthVersionLast="47" xr6:coauthVersionMax="47" xr10:uidLastSave="{00000000-0000-0000-0000-000000000000}"/>
  <workbookProtection workbookAlgorithmName="SHA-512" workbookHashValue="7/E5oRdkkHdO3qxntDyLK2NLTmO7Nv83urca0uOPiDbF1yCDKe6bKpo//p0uO/WqxmX/GxPz32VS0J+RbAGmyw==" workbookSaltValue="iX8zl3tC7/5TnGEe1NyqvQ==" workbookSpinCount="100000" lockStructure="1"/>
  <bookViews>
    <workbookView xWindow="-24120" yWindow="-1920" windowWidth="24240" windowHeight="13020" tabRatio="931" activeTab="5" xr2:uid="{00000000-000D-0000-FFFF-FFFF00000000}"/>
  </bookViews>
  <sheets>
    <sheet name="Modo de Uso" sheetId="33" r:id="rId1"/>
    <sheet name="Diseño" sheetId="25" r:id="rId2"/>
    <sheet name="Cubicación" sheetId="26" r:id="rId3"/>
    <sheet name="APU DT-18" sheetId="10" r:id="rId4"/>
    <sheet name="Hoja2" sheetId="24" state="hidden" r:id="rId5"/>
    <sheet name="Presupuesto" sheetId="28" r:id="rId6"/>
    <sheet name="Hormigón $ min" sheetId="13" state="hidden" r:id="rId7"/>
    <sheet name="Hormigón $max" sheetId="1" state="hidden" r:id="rId8"/>
    <sheet name="Acero $ min" sheetId="14" state="hidden" r:id="rId9"/>
    <sheet name="Acero $max" sheetId="4" state="hidden" r:id="rId10"/>
    <sheet name="Mov. Tierras $min" sheetId="16" state="hidden" r:id="rId11"/>
    <sheet name="Mov. Tierras $max" sheetId="6" state="hidden" r:id="rId12"/>
    <sheet name="Moldaje $min" sheetId="15" state="hidden" r:id="rId13"/>
    <sheet name="Moldaje $max" sheetId="5" state="hidden" r:id="rId14"/>
    <sheet name="Junta dilatación $min" sheetId="19" state="hidden" r:id="rId15"/>
    <sheet name="Junta dilatación $max" sheetId="17" state="hidden" r:id="rId16"/>
    <sheet name="Resumen" sheetId="12" state="hidden" r:id="rId17"/>
    <sheet name="NO BORRAR" sheetId="11" state="hidden" r:id="rId18"/>
    <sheet name="Hoja1" sheetId="20" state="hidden" r:id="rId19"/>
    <sheet name="Factor altura" sheetId="21" state="hidden" r:id="rId20"/>
    <sheet name="Mat y mano obra" sheetId="22" state="hidden" r:id="rId21"/>
    <sheet name="rendimiento" sheetId="23" state="hidden" r:id="rId22"/>
  </sheets>
  <definedNames>
    <definedName name="_xlnm.Print_Area" localSheetId="3">'APU DT-18'!$A$1:$F$33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0" l="1"/>
  <c r="D30" i="10"/>
  <c r="E29" i="10"/>
  <c r="F29" i="10" s="1"/>
  <c r="D29" i="10"/>
  <c r="H45" i="24"/>
  <c r="F45" i="24"/>
  <c r="D45" i="24"/>
  <c r="C45" i="24"/>
  <c r="H46" i="24"/>
  <c r="G46" i="24"/>
  <c r="F46" i="24"/>
  <c r="C46" i="24"/>
  <c r="D46" i="24" s="1"/>
  <c r="E46" i="24"/>
  <c r="G45" i="24"/>
  <c r="E45" i="24"/>
  <c r="E24" i="10"/>
  <c r="D24" i="10"/>
  <c r="F32" i="11"/>
  <c r="E32" i="11"/>
  <c r="F35" i="11"/>
  <c r="E35" i="11"/>
  <c r="F30" i="10" l="1"/>
  <c r="H37" i="25" l="1"/>
  <c r="H42" i="25"/>
  <c r="I34" i="25"/>
  <c r="D30" i="25"/>
  <c r="I47" i="25" s="1"/>
  <c r="D31" i="25"/>
  <c r="G43" i="25" s="1"/>
  <c r="C45" i="33"/>
  <c r="C44" i="33"/>
  <c r="C50" i="33"/>
  <c r="C49" i="33"/>
  <c r="C48" i="33"/>
  <c r="C47" i="33"/>
  <c r="C39" i="33"/>
  <c r="C36" i="33"/>
  <c r="C51" i="33" s="1"/>
  <c r="B26" i="33"/>
  <c r="C22" i="33"/>
  <c r="E28" i="25"/>
  <c r="G37" i="25" l="1"/>
  <c r="D22" i="25"/>
  <c r="D8" i="25"/>
  <c r="E18" i="25" s="1"/>
  <c r="AC73" i="25"/>
  <c r="AC72" i="25"/>
  <c r="D33" i="25"/>
  <c r="D36" i="25"/>
  <c r="AD73" i="25" l="1"/>
  <c r="D39" i="25" s="1"/>
  <c r="AD72" i="25"/>
  <c r="AE72" i="25" s="1"/>
  <c r="F23" i="26" s="1"/>
  <c r="F23" i="28" s="1"/>
  <c r="G23" i="28" s="1"/>
  <c r="H23" i="28" s="1"/>
  <c r="D38" i="25" l="1"/>
  <c r="E19" i="25"/>
  <c r="I8" i="26"/>
  <c r="F24" i="10" l="1"/>
  <c r="AO4" i="28"/>
  <c r="C8" i="26"/>
  <c r="AC60" i="25"/>
  <c r="AC53" i="25"/>
  <c r="AB56" i="25" s="1"/>
  <c r="AC55" i="25" s="1"/>
  <c r="AC50" i="25"/>
  <c r="AC40" i="25"/>
  <c r="AC37" i="25"/>
  <c r="AE37" i="25" s="1"/>
  <c r="AC46" i="25" s="1"/>
  <c r="C12" i="25"/>
  <c r="D35" i="25"/>
  <c r="D34" i="25"/>
  <c r="AC28" i="25"/>
  <c r="D37" i="25" l="1"/>
  <c r="AC32" i="25"/>
  <c r="AD32" i="25" s="1"/>
  <c r="D23" i="25"/>
  <c r="D25" i="25" s="1"/>
  <c r="E29" i="25" s="1"/>
  <c r="AE60" i="25"/>
  <c r="AE53" i="25"/>
  <c r="AE40" i="25"/>
  <c r="AD37" i="25"/>
  <c r="AC41" i="25"/>
  <c r="AD53" i="25"/>
  <c r="AC34" i="25"/>
  <c r="AD40" i="25"/>
  <c r="AD28" i="25"/>
  <c r="AD41" i="25" l="1"/>
  <c r="AF53" i="25"/>
  <c r="AG53" i="25" s="1"/>
  <c r="D42" i="25" s="1"/>
  <c r="BC32" i="25"/>
  <c r="AE32" i="25"/>
  <c r="AE41" i="25"/>
  <c r="AC47" i="25"/>
  <c r="AC48" i="25" s="1"/>
  <c r="AG55" i="25" s="1"/>
  <c r="K176" i="6"/>
  <c r="K174" i="6"/>
  <c r="K172" i="6"/>
  <c r="E174" i="6"/>
  <c r="J174" i="6" s="1"/>
  <c r="J172" i="6"/>
  <c r="F11" i="26" l="1"/>
  <c r="F9" i="28" s="1"/>
  <c r="D43" i="25"/>
  <c r="AC62" i="25"/>
  <c r="AD60" i="25"/>
  <c r="AF60" i="25" s="1"/>
  <c r="L172" i="6"/>
  <c r="L174" i="6"/>
  <c r="L177" i="6" s="1"/>
  <c r="E176" i="6"/>
  <c r="J176" i="6" s="1"/>
  <c r="L176" i="6" s="1"/>
  <c r="F20" i="26" l="1"/>
  <c r="F20" i="28" s="1"/>
  <c r="G20" i="28" s="1"/>
  <c r="H20" i="28" s="1"/>
  <c r="F21" i="26"/>
  <c r="F21" i="28" s="1"/>
  <c r="F19" i="26"/>
  <c r="F19" i="28" s="1"/>
  <c r="AC65" i="25"/>
  <c r="AC67" i="25" s="1"/>
  <c r="F13" i="26"/>
  <c r="F11" i="28" s="1"/>
  <c r="F14" i="26"/>
  <c r="F12" i="28" s="1"/>
  <c r="L178" i="6"/>
  <c r="L170" i="6" s="1"/>
  <c r="F38" i="11" s="1"/>
  <c r="H38" i="11" s="1"/>
  <c r="D40" i="24" s="1"/>
  <c r="F40" i="24" s="1"/>
  <c r="H40" i="24" s="1"/>
  <c r="F17" i="26" l="1"/>
  <c r="F16" i="26"/>
  <c r="F14" i="28" s="1"/>
  <c r="F15" i="26"/>
  <c r="K176" i="16"/>
  <c r="K174" i="16"/>
  <c r="K172" i="16"/>
  <c r="E174" i="16"/>
  <c r="J174" i="16" s="1"/>
  <c r="J172" i="16"/>
  <c r="K98" i="6"/>
  <c r="K140" i="6"/>
  <c r="K98" i="16"/>
  <c r="F12" i="26" l="1"/>
  <c r="F10" i="28" s="1"/>
  <c r="F15" i="28"/>
  <c r="G15" i="28" s="1"/>
  <c r="H15" i="28" s="1"/>
  <c r="L172" i="16"/>
  <c r="L174" i="16"/>
  <c r="L177" i="16" s="1"/>
  <c r="E176" i="16"/>
  <c r="J176" i="16" s="1"/>
  <c r="L176" i="16" s="1"/>
  <c r="K164" i="6"/>
  <c r="K161" i="6"/>
  <c r="K159" i="6"/>
  <c r="K156" i="6"/>
  <c r="K162" i="6" s="1"/>
  <c r="D164" i="6"/>
  <c r="C37" i="11"/>
  <c r="K164" i="16"/>
  <c r="K162" i="16"/>
  <c r="K161" i="16"/>
  <c r="K159" i="16"/>
  <c r="K156" i="16"/>
  <c r="D164" i="16"/>
  <c r="L178" i="16" l="1"/>
  <c r="L170" i="16" s="1"/>
  <c r="E38" i="11" s="1"/>
  <c r="G38" i="11" s="1"/>
  <c r="C40" i="24" s="1"/>
  <c r="E40" i="24" s="1"/>
  <c r="G40" i="24" s="1"/>
  <c r="K56" i="6"/>
  <c r="K56" i="16"/>
  <c r="K38" i="15" l="1"/>
  <c r="K7" i="15"/>
  <c r="B38" i="22" l="1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8" i="22"/>
  <c r="B17" i="22"/>
  <c r="B16" i="22"/>
  <c r="B15" i="22"/>
  <c r="B14" i="22"/>
  <c r="B13" i="22"/>
  <c r="B12" i="22"/>
  <c r="B11" i="22"/>
  <c r="B10" i="22"/>
  <c r="K92" i="1" l="1"/>
  <c r="K64" i="1"/>
  <c r="K36" i="1"/>
  <c r="K10" i="1"/>
  <c r="K93" i="1"/>
  <c r="K90" i="1"/>
  <c r="K65" i="1"/>
  <c r="K62" i="1"/>
  <c r="K11" i="1"/>
  <c r="K37" i="1"/>
  <c r="K34" i="1"/>
  <c r="K12" i="1"/>
  <c r="K93" i="13"/>
  <c r="K92" i="13"/>
  <c r="K90" i="13"/>
  <c r="K65" i="13"/>
  <c r="K64" i="13"/>
  <c r="K62" i="13"/>
  <c r="K37" i="13"/>
  <c r="K36" i="13"/>
  <c r="K34" i="13"/>
  <c r="K12" i="13"/>
  <c r="K11" i="13"/>
  <c r="K10" i="13"/>
  <c r="K174" i="4" l="1"/>
  <c r="K160" i="4"/>
  <c r="K146" i="4"/>
  <c r="K132" i="4"/>
  <c r="K118" i="4"/>
  <c r="K104" i="4"/>
  <c r="K90" i="4"/>
  <c r="K76" i="4"/>
  <c r="K62" i="4"/>
  <c r="K48" i="4"/>
  <c r="K34" i="4"/>
  <c r="K20" i="4"/>
  <c r="K6" i="4"/>
  <c r="K174" i="14"/>
  <c r="K160" i="14"/>
  <c r="K146" i="14"/>
  <c r="K132" i="14"/>
  <c r="K118" i="14"/>
  <c r="K104" i="14"/>
  <c r="K90" i="14"/>
  <c r="K76" i="14"/>
  <c r="K62" i="14"/>
  <c r="K48" i="14"/>
  <c r="K34" i="14"/>
  <c r="K20" i="14"/>
  <c r="K6" i="14"/>
  <c r="K21" i="14"/>
  <c r="P16" i="13" l="1"/>
  <c r="B2" i="21"/>
  <c r="B9" i="21"/>
  <c r="G9" i="21" l="1"/>
  <c r="D8" i="23" s="1"/>
  <c r="F39" i="21"/>
  <c r="C38" i="23" s="1"/>
  <c r="E155" i="6" s="1"/>
  <c r="G39" i="21"/>
  <c r="D38" i="23" s="1"/>
  <c r="E155" i="16" s="1"/>
  <c r="F6" i="21"/>
  <c r="C5" i="23" s="1"/>
  <c r="F35" i="21"/>
  <c r="C34" i="23" s="1"/>
  <c r="F31" i="21"/>
  <c r="C30" i="23" s="1"/>
  <c r="F27" i="21"/>
  <c r="C26" i="23" s="1"/>
  <c r="F23" i="21"/>
  <c r="C22" i="23" s="1"/>
  <c r="F19" i="21"/>
  <c r="C18" i="23" s="1"/>
  <c r="F15" i="21"/>
  <c r="C14" i="23" s="1"/>
  <c r="F11" i="21"/>
  <c r="C10" i="23" s="1"/>
  <c r="F7" i="21"/>
  <c r="C6" i="23" s="1"/>
  <c r="G36" i="21"/>
  <c r="D35" i="23" s="1"/>
  <c r="G32" i="21"/>
  <c r="D31" i="23" s="1"/>
  <c r="G28" i="21"/>
  <c r="D27" i="23" s="1"/>
  <c r="G24" i="21"/>
  <c r="D23" i="23" s="1"/>
  <c r="G20" i="21"/>
  <c r="D19" i="23" s="1"/>
  <c r="G16" i="21"/>
  <c r="D15" i="23" s="1"/>
  <c r="G12" i="21"/>
  <c r="D11" i="23" s="1"/>
  <c r="G8" i="21"/>
  <c r="D7" i="23" s="1"/>
  <c r="F38" i="21"/>
  <c r="C37" i="23" s="1"/>
  <c r="F34" i="21"/>
  <c r="C33" i="23" s="1"/>
  <c r="F30" i="21"/>
  <c r="C29" i="23" s="1"/>
  <c r="F26" i="21"/>
  <c r="C25" i="23" s="1"/>
  <c r="F22" i="21"/>
  <c r="C21" i="23" s="1"/>
  <c r="F18" i="21"/>
  <c r="C17" i="23" s="1"/>
  <c r="F14" i="21"/>
  <c r="C13" i="23" s="1"/>
  <c r="F10" i="21"/>
  <c r="C9" i="23" s="1"/>
  <c r="G6" i="21"/>
  <c r="D5" i="23" s="1"/>
  <c r="G35" i="21"/>
  <c r="D34" i="23" s="1"/>
  <c r="G31" i="21"/>
  <c r="D30" i="23" s="1"/>
  <c r="G27" i="21"/>
  <c r="D26" i="23" s="1"/>
  <c r="G23" i="21"/>
  <c r="D22" i="23" s="1"/>
  <c r="G19" i="21"/>
  <c r="D18" i="23" s="1"/>
  <c r="G15" i="21"/>
  <c r="D14" i="23" s="1"/>
  <c r="G11" i="21"/>
  <c r="D10" i="23" s="1"/>
  <c r="G7" i="21"/>
  <c r="D6" i="23" s="1"/>
  <c r="F37" i="21"/>
  <c r="C36" i="23" s="1"/>
  <c r="F33" i="21"/>
  <c r="C32" i="23" s="1"/>
  <c r="F29" i="21"/>
  <c r="C28" i="23" s="1"/>
  <c r="F25" i="21"/>
  <c r="C24" i="23" s="1"/>
  <c r="F21" i="21"/>
  <c r="C20" i="23" s="1"/>
  <c r="F17" i="21"/>
  <c r="C16" i="23" s="1"/>
  <c r="F13" i="21"/>
  <c r="C12" i="23" s="1"/>
  <c r="F9" i="21"/>
  <c r="C8" i="23" s="1"/>
  <c r="G38" i="21"/>
  <c r="D37" i="23" s="1"/>
  <c r="G34" i="21"/>
  <c r="D33" i="23" s="1"/>
  <c r="G30" i="21"/>
  <c r="D29" i="23" s="1"/>
  <c r="G26" i="21"/>
  <c r="D25" i="23" s="1"/>
  <c r="G22" i="21"/>
  <c r="D21" i="23" s="1"/>
  <c r="G18" i="21"/>
  <c r="D17" i="23" s="1"/>
  <c r="G14" i="21"/>
  <c r="D13" i="23" s="1"/>
  <c r="G10" i="21"/>
  <c r="D9" i="23" s="1"/>
  <c r="F36" i="21"/>
  <c r="C35" i="23" s="1"/>
  <c r="F32" i="21"/>
  <c r="C31" i="23" s="1"/>
  <c r="F28" i="21"/>
  <c r="C27" i="23" s="1"/>
  <c r="F24" i="21"/>
  <c r="C23" i="23" s="1"/>
  <c r="F20" i="21"/>
  <c r="C19" i="23" s="1"/>
  <c r="F16" i="21"/>
  <c r="C15" i="23" s="1"/>
  <c r="F12" i="21"/>
  <c r="C11" i="23" s="1"/>
  <c r="F8" i="21"/>
  <c r="C7" i="23" s="1"/>
  <c r="G37" i="21"/>
  <c r="D36" i="23" s="1"/>
  <c r="G33" i="21"/>
  <c r="D32" i="23" s="1"/>
  <c r="G29" i="21"/>
  <c r="D28" i="23" s="1"/>
  <c r="G25" i="21"/>
  <c r="D24" i="23" s="1"/>
  <c r="G21" i="21"/>
  <c r="D20" i="23" s="1"/>
  <c r="G17" i="21"/>
  <c r="D16" i="23" s="1"/>
  <c r="G13" i="21"/>
  <c r="D12" i="23" s="1"/>
  <c r="E159" i="6" l="1"/>
  <c r="E156" i="6"/>
  <c r="J156" i="6" s="1"/>
  <c r="L156" i="6" s="1"/>
  <c r="E159" i="16"/>
  <c r="E156" i="16"/>
  <c r="J156" i="16" s="1"/>
  <c r="L156" i="16" s="1"/>
  <c r="G16" i="20"/>
  <c r="G18" i="20"/>
  <c r="G21" i="20"/>
  <c r="G22" i="20"/>
  <c r="G25" i="20"/>
  <c r="G26" i="20"/>
  <c r="G29" i="20"/>
  <c r="G30" i="20"/>
  <c r="G33" i="20"/>
  <c r="G34" i="20"/>
  <c r="G37" i="20"/>
  <c r="G38" i="20"/>
  <c r="G41" i="20"/>
  <c r="G42" i="20"/>
  <c r="G45" i="20"/>
  <c r="G46" i="20"/>
  <c r="G14" i="20"/>
  <c r="G15" i="20"/>
  <c r="C5" i="20"/>
  <c r="G19" i="20" s="1"/>
  <c r="G13" i="20" l="1"/>
  <c r="G44" i="20"/>
  <c r="G40" i="20"/>
  <c r="G36" i="20"/>
  <c r="G32" i="20"/>
  <c r="G28" i="20"/>
  <c r="G24" i="20"/>
  <c r="G20" i="20"/>
  <c r="G11" i="20"/>
  <c r="G12" i="20"/>
  <c r="G43" i="20"/>
  <c r="G39" i="20"/>
  <c r="G35" i="20"/>
  <c r="G31" i="20"/>
  <c r="G27" i="20"/>
  <c r="G23" i="20"/>
  <c r="L157" i="6"/>
  <c r="J159" i="6"/>
  <c r="L159" i="6" s="1"/>
  <c r="E161" i="6"/>
  <c r="J161" i="6" s="1"/>
  <c r="L161" i="6" s="1"/>
  <c r="E162" i="6"/>
  <c r="J159" i="16"/>
  <c r="L159" i="16" s="1"/>
  <c r="E161" i="16"/>
  <c r="J161" i="16" s="1"/>
  <c r="L161" i="16" s="1"/>
  <c r="E162" i="16"/>
  <c r="L157" i="16"/>
  <c r="K105" i="4"/>
  <c r="K179" i="4"/>
  <c r="K164" i="4"/>
  <c r="K139" i="4"/>
  <c r="K10" i="19"/>
  <c r="K7" i="19"/>
  <c r="L7" i="19" s="1"/>
  <c r="E4" i="19"/>
  <c r="E11" i="19" s="1"/>
  <c r="J11" i="19" s="1"/>
  <c r="P26" i="19"/>
  <c r="P27" i="19" s="1"/>
  <c r="K12" i="19"/>
  <c r="K11" i="19"/>
  <c r="K181" i="14"/>
  <c r="K179" i="14"/>
  <c r="K178" i="14"/>
  <c r="K175" i="14"/>
  <c r="K167" i="14"/>
  <c r="K165" i="14"/>
  <c r="K164" i="14"/>
  <c r="K161" i="14"/>
  <c r="K153" i="14"/>
  <c r="K151" i="14"/>
  <c r="K150" i="14"/>
  <c r="K147" i="14"/>
  <c r="K139" i="14"/>
  <c r="K137" i="14"/>
  <c r="K136" i="14"/>
  <c r="K133" i="14"/>
  <c r="K125" i="14"/>
  <c r="K123" i="14"/>
  <c r="K122" i="14"/>
  <c r="K119" i="14"/>
  <c r="K111" i="14"/>
  <c r="K109" i="14"/>
  <c r="K108" i="14"/>
  <c r="K105" i="14"/>
  <c r="K97" i="14"/>
  <c r="K95" i="14"/>
  <c r="K94" i="14"/>
  <c r="K91" i="14"/>
  <c r="K83" i="14"/>
  <c r="K81" i="14"/>
  <c r="K80" i="14"/>
  <c r="K77" i="14"/>
  <c r="K69" i="14"/>
  <c r="K67" i="14"/>
  <c r="K66" i="14"/>
  <c r="K63" i="14"/>
  <c r="K55" i="14"/>
  <c r="K53" i="14"/>
  <c r="K52" i="14"/>
  <c r="K49" i="14"/>
  <c r="K41" i="14"/>
  <c r="K39" i="14"/>
  <c r="K38" i="14"/>
  <c r="K35" i="14"/>
  <c r="K27" i="14"/>
  <c r="K25" i="14"/>
  <c r="K24" i="14"/>
  <c r="K13" i="14"/>
  <c r="K11" i="14"/>
  <c r="K10" i="14"/>
  <c r="K7" i="14"/>
  <c r="K107" i="13"/>
  <c r="K105" i="13"/>
  <c r="K104" i="13"/>
  <c r="K103" i="13"/>
  <c r="K100" i="13"/>
  <c r="K99" i="13"/>
  <c r="K96" i="13"/>
  <c r="L96" i="13" s="1"/>
  <c r="K95" i="13"/>
  <c r="L93" i="13"/>
  <c r="L92" i="13"/>
  <c r="L90" i="13"/>
  <c r="K89" i="13"/>
  <c r="L89" i="13" s="1"/>
  <c r="K88" i="13"/>
  <c r="K87" i="13"/>
  <c r="K79" i="13"/>
  <c r="K77" i="13"/>
  <c r="K76" i="13"/>
  <c r="K75" i="13"/>
  <c r="K72" i="13"/>
  <c r="K71" i="13"/>
  <c r="K68" i="13"/>
  <c r="K67" i="13"/>
  <c r="K61" i="13"/>
  <c r="K60" i="13"/>
  <c r="K59" i="13"/>
  <c r="K51" i="13"/>
  <c r="K49" i="13"/>
  <c r="K48" i="13"/>
  <c r="K47" i="13"/>
  <c r="K44" i="13"/>
  <c r="K43" i="13"/>
  <c r="K40" i="13"/>
  <c r="K39" i="13"/>
  <c r="K33" i="13"/>
  <c r="K32" i="13"/>
  <c r="K31" i="13"/>
  <c r="K23" i="13"/>
  <c r="K22" i="13"/>
  <c r="K21" i="13"/>
  <c r="K18" i="13"/>
  <c r="K17" i="13"/>
  <c r="K9" i="13"/>
  <c r="K8" i="13"/>
  <c r="K7" i="13"/>
  <c r="E84" i="13"/>
  <c r="E107" i="13" s="1"/>
  <c r="J107" i="13" s="1"/>
  <c r="L106" i="13"/>
  <c r="L102" i="13"/>
  <c r="L101" i="13"/>
  <c r="L91" i="13"/>
  <c r="K59" i="15"/>
  <c r="K57" i="15"/>
  <c r="K56" i="15"/>
  <c r="K54" i="15"/>
  <c r="K53" i="15"/>
  <c r="K51" i="15"/>
  <c r="K50" i="15"/>
  <c r="K49" i="15"/>
  <c r="K47" i="15"/>
  <c r="K42" i="15"/>
  <c r="K41" i="15"/>
  <c r="K39" i="15"/>
  <c r="K29" i="15"/>
  <c r="K27" i="15"/>
  <c r="K26" i="15"/>
  <c r="K24" i="15"/>
  <c r="K23" i="15"/>
  <c r="K21" i="15"/>
  <c r="K20" i="15"/>
  <c r="K19" i="15"/>
  <c r="K17" i="15"/>
  <c r="K11" i="15"/>
  <c r="K10" i="15"/>
  <c r="K8" i="15"/>
  <c r="K149" i="16"/>
  <c r="K148" i="16"/>
  <c r="K147" i="16"/>
  <c r="K141" i="16"/>
  <c r="K140" i="16"/>
  <c r="K139" i="16"/>
  <c r="K133" i="16"/>
  <c r="K130" i="16"/>
  <c r="K129" i="16"/>
  <c r="K126" i="16"/>
  <c r="K125" i="16"/>
  <c r="K114" i="16"/>
  <c r="K112" i="16"/>
  <c r="K110" i="16"/>
  <c r="K102" i="16"/>
  <c r="K100" i="16"/>
  <c r="K90" i="16"/>
  <c r="K88" i="16"/>
  <c r="K86" i="16"/>
  <c r="K78" i="16"/>
  <c r="K76" i="16"/>
  <c r="K74" i="16"/>
  <c r="K68" i="16"/>
  <c r="K66" i="16"/>
  <c r="K64" i="16"/>
  <c r="K58" i="16"/>
  <c r="K57" i="16"/>
  <c r="K55" i="16"/>
  <c r="K54" i="16"/>
  <c r="K53" i="16"/>
  <c r="K50" i="16"/>
  <c r="K43" i="16"/>
  <c r="K41" i="16"/>
  <c r="K40" i="16"/>
  <c r="K38" i="16"/>
  <c r="K35" i="16"/>
  <c r="K28" i="16"/>
  <c r="K26" i="16"/>
  <c r="K19" i="16"/>
  <c r="K17" i="16"/>
  <c r="K10" i="16"/>
  <c r="K8" i="16"/>
  <c r="K7" i="16"/>
  <c r="E4" i="17"/>
  <c r="E12" i="17" s="1"/>
  <c r="J12" i="17" s="1"/>
  <c r="K12" i="17"/>
  <c r="K11" i="17"/>
  <c r="K10" i="17"/>
  <c r="K7" i="17"/>
  <c r="L7" i="17" s="1"/>
  <c r="K8" i="17" s="1"/>
  <c r="L8" i="17" s="1"/>
  <c r="K181" i="4"/>
  <c r="K178" i="4"/>
  <c r="K175" i="4"/>
  <c r="K167" i="4"/>
  <c r="K165" i="4"/>
  <c r="K161" i="4"/>
  <c r="K153" i="4"/>
  <c r="K151" i="4"/>
  <c r="K150" i="4"/>
  <c r="K147" i="4"/>
  <c r="K137" i="4"/>
  <c r="K136" i="4"/>
  <c r="K133" i="4"/>
  <c r="K125" i="4"/>
  <c r="K123" i="4"/>
  <c r="K122" i="4"/>
  <c r="K119" i="4"/>
  <c r="K111" i="4"/>
  <c r="K109" i="4"/>
  <c r="K108" i="4"/>
  <c r="K97" i="4"/>
  <c r="K95" i="4"/>
  <c r="K94" i="4"/>
  <c r="K91" i="4"/>
  <c r="K83" i="4"/>
  <c r="K81" i="4"/>
  <c r="K80" i="4"/>
  <c r="K77" i="4"/>
  <c r="K69" i="4"/>
  <c r="K67" i="4"/>
  <c r="K66" i="4"/>
  <c r="K63" i="4"/>
  <c r="K55" i="4"/>
  <c r="K53" i="4"/>
  <c r="K52" i="4"/>
  <c r="K49" i="4"/>
  <c r="K41" i="4"/>
  <c r="K39" i="4"/>
  <c r="K38" i="4"/>
  <c r="K35" i="4"/>
  <c r="K27" i="4"/>
  <c r="K25" i="4"/>
  <c r="K24" i="4"/>
  <c r="K21" i="4"/>
  <c r="K13" i="4"/>
  <c r="K11" i="4"/>
  <c r="K10" i="4"/>
  <c r="K7" i="4"/>
  <c r="K107" i="1"/>
  <c r="K105" i="1"/>
  <c r="K104" i="1"/>
  <c r="K103" i="1"/>
  <c r="K100" i="1"/>
  <c r="K99" i="1"/>
  <c r="K96" i="1"/>
  <c r="K95" i="1"/>
  <c r="L93" i="1"/>
  <c r="L92" i="1"/>
  <c r="L90" i="1"/>
  <c r="K89" i="1"/>
  <c r="L89" i="1" s="1"/>
  <c r="K88" i="1"/>
  <c r="K87" i="1"/>
  <c r="K79" i="1"/>
  <c r="K77" i="1"/>
  <c r="K76" i="1"/>
  <c r="K75" i="1"/>
  <c r="K72" i="1"/>
  <c r="K71" i="1"/>
  <c r="K68" i="1"/>
  <c r="K67" i="1"/>
  <c r="K61" i="1"/>
  <c r="K60" i="1"/>
  <c r="K59" i="1"/>
  <c r="K51" i="1"/>
  <c r="K49" i="1"/>
  <c r="K48" i="1"/>
  <c r="K47" i="1"/>
  <c r="K44" i="1"/>
  <c r="K43" i="1"/>
  <c r="K40" i="1"/>
  <c r="K39" i="1"/>
  <c r="K33" i="1"/>
  <c r="K32" i="1"/>
  <c r="K31" i="1"/>
  <c r="K23" i="1"/>
  <c r="K22" i="1"/>
  <c r="K21" i="1"/>
  <c r="K18" i="1"/>
  <c r="K17" i="1"/>
  <c r="K9" i="1"/>
  <c r="K8" i="1"/>
  <c r="K7" i="1"/>
  <c r="K59" i="5"/>
  <c r="K57" i="5"/>
  <c r="K56" i="5"/>
  <c r="K54" i="5"/>
  <c r="K53" i="5"/>
  <c r="K51" i="5"/>
  <c r="K50" i="5"/>
  <c r="K49" i="5"/>
  <c r="K47" i="5"/>
  <c r="K42" i="5"/>
  <c r="K41" i="5"/>
  <c r="K39" i="5"/>
  <c r="K38" i="5"/>
  <c r="K29" i="5"/>
  <c r="K27" i="5"/>
  <c r="K26" i="5"/>
  <c r="K24" i="5"/>
  <c r="K23" i="5"/>
  <c r="K21" i="5"/>
  <c r="K20" i="5"/>
  <c r="K19" i="5"/>
  <c r="K17" i="5"/>
  <c r="K11" i="5"/>
  <c r="K10" i="5"/>
  <c r="K8" i="5"/>
  <c r="K7" i="5"/>
  <c r="K150" i="6"/>
  <c r="K149" i="6"/>
  <c r="K148" i="6"/>
  <c r="K142" i="6"/>
  <c r="K141" i="6"/>
  <c r="K133" i="6"/>
  <c r="K130" i="6"/>
  <c r="K129" i="6"/>
  <c r="K126" i="6"/>
  <c r="K125" i="6"/>
  <c r="K114" i="6"/>
  <c r="K112" i="6"/>
  <c r="K110" i="6"/>
  <c r="K102" i="6"/>
  <c r="K100" i="6"/>
  <c r="K90" i="6"/>
  <c r="K88" i="6"/>
  <c r="K86" i="6"/>
  <c r="K78" i="6"/>
  <c r="K76" i="6"/>
  <c r="K74" i="6"/>
  <c r="K68" i="6"/>
  <c r="K66" i="6"/>
  <c r="K64" i="6"/>
  <c r="K58" i="6"/>
  <c r="K57" i="6"/>
  <c r="K55" i="6"/>
  <c r="K54" i="6"/>
  <c r="K53" i="6"/>
  <c r="K50" i="6"/>
  <c r="K43" i="6"/>
  <c r="K41" i="6"/>
  <c r="K40" i="6"/>
  <c r="K38" i="6"/>
  <c r="K35" i="6"/>
  <c r="K28" i="6"/>
  <c r="K26" i="6"/>
  <c r="K19" i="6"/>
  <c r="K17" i="6"/>
  <c r="K10" i="6"/>
  <c r="K8" i="6"/>
  <c r="K7" i="6"/>
  <c r="L96" i="1"/>
  <c r="E84" i="1"/>
  <c r="E107" i="1" s="1"/>
  <c r="M65" i="1"/>
  <c r="P26" i="17"/>
  <c r="P27" i="17" s="1"/>
  <c r="L106" i="1"/>
  <c r="L102" i="1"/>
  <c r="L101" i="1"/>
  <c r="L91" i="1"/>
  <c r="E164" i="6" l="1"/>
  <c r="J164" i="6" s="1"/>
  <c r="L164" i="6" s="1"/>
  <c r="J162" i="6"/>
  <c r="L162" i="6" s="1"/>
  <c r="L163" i="6" s="1"/>
  <c r="E164" i="16"/>
  <c r="J164" i="16" s="1"/>
  <c r="L164" i="16" s="1"/>
  <c r="J162" i="16"/>
  <c r="L162" i="16" s="1"/>
  <c r="E10" i="19"/>
  <c r="J10" i="19" s="1"/>
  <c r="L10" i="19" s="1"/>
  <c r="E12" i="19"/>
  <c r="J12" i="19" s="1"/>
  <c r="L12" i="19" s="1"/>
  <c r="K8" i="19"/>
  <c r="L8" i="19" s="1"/>
  <c r="L11" i="19"/>
  <c r="E10" i="17"/>
  <c r="J10" i="17" s="1"/>
  <c r="L10" i="17" s="1"/>
  <c r="E11" i="17"/>
  <c r="J11" i="17" s="1"/>
  <c r="L11" i="17" s="1"/>
  <c r="L107" i="13"/>
  <c r="L94" i="13"/>
  <c r="E87" i="13"/>
  <c r="J87" i="13" s="1"/>
  <c r="L87" i="13" s="1"/>
  <c r="E88" i="13"/>
  <c r="J88" i="13" s="1"/>
  <c r="L88" i="13" s="1"/>
  <c r="E99" i="13"/>
  <c r="J99" i="13" s="1"/>
  <c r="L99" i="13" s="1"/>
  <c r="E100" i="13"/>
  <c r="J100" i="13" s="1"/>
  <c r="L100" i="13" s="1"/>
  <c r="E95" i="13"/>
  <c r="J95" i="13" s="1"/>
  <c r="L95" i="13" s="1"/>
  <c r="E103" i="13"/>
  <c r="J103" i="13" s="1"/>
  <c r="L103" i="13" s="1"/>
  <c r="E104" i="13"/>
  <c r="J104" i="13" s="1"/>
  <c r="L104" i="13" s="1"/>
  <c r="E105" i="13"/>
  <c r="J105" i="13" s="1"/>
  <c r="L105" i="13" s="1"/>
  <c r="L12" i="17"/>
  <c r="L94" i="1"/>
  <c r="E88" i="1"/>
  <c r="E103" i="1"/>
  <c r="E95" i="1"/>
  <c r="E104" i="1"/>
  <c r="E99" i="1"/>
  <c r="E105" i="1"/>
  <c r="E87" i="1"/>
  <c r="E100" i="1"/>
  <c r="E35" i="15"/>
  <c r="E42" i="15" s="1"/>
  <c r="E4" i="15"/>
  <c r="E11" i="15" s="1"/>
  <c r="E35" i="5"/>
  <c r="E42" i="5" s="1"/>
  <c r="E4" i="5"/>
  <c r="E10" i="5" s="1"/>
  <c r="J10" i="5" s="1"/>
  <c r="E139" i="16"/>
  <c r="D141" i="16"/>
  <c r="E147" i="16"/>
  <c r="E125" i="16"/>
  <c r="E110" i="16"/>
  <c r="E86" i="16"/>
  <c r="E74" i="16"/>
  <c r="E64" i="16"/>
  <c r="E49" i="16"/>
  <c r="E34" i="16"/>
  <c r="E25" i="16"/>
  <c r="E16" i="16"/>
  <c r="E5" i="16"/>
  <c r="E173" i="14"/>
  <c r="E159" i="14"/>
  <c r="E145" i="14"/>
  <c r="E131" i="14"/>
  <c r="E117" i="14"/>
  <c r="E103" i="14"/>
  <c r="E89" i="14"/>
  <c r="E75" i="14"/>
  <c r="E61" i="14"/>
  <c r="E47" i="14"/>
  <c r="E33" i="14"/>
  <c r="E19" i="14"/>
  <c r="E5" i="14"/>
  <c r="E56" i="13"/>
  <c r="E28" i="13"/>
  <c r="E4" i="13"/>
  <c r="E148" i="6"/>
  <c r="E140" i="6"/>
  <c r="E141" i="6" s="1"/>
  <c r="E125" i="6"/>
  <c r="E110" i="6"/>
  <c r="E86" i="6"/>
  <c r="E74" i="6"/>
  <c r="E64" i="6"/>
  <c r="E49" i="6"/>
  <c r="E34" i="6"/>
  <c r="E25" i="6"/>
  <c r="E16" i="6"/>
  <c r="E5" i="6"/>
  <c r="E173" i="4"/>
  <c r="E159" i="4"/>
  <c r="E145" i="4"/>
  <c r="E131" i="4"/>
  <c r="E117" i="4"/>
  <c r="E103" i="4"/>
  <c r="E111" i="4" s="1"/>
  <c r="J111" i="4" s="1"/>
  <c r="E89" i="4"/>
  <c r="E75" i="4"/>
  <c r="E61" i="4"/>
  <c r="E47" i="4"/>
  <c r="E33" i="4"/>
  <c r="E19" i="4"/>
  <c r="E141" i="16" l="1"/>
  <c r="L165" i="16"/>
  <c r="L165" i="6"/>
  <c r="L154" i="6" s="1"/>
  <c r="F37" i="11" s="1"/>
  <c r="H37" i="11" s="1"/>
  <c r="D39" i="24" s="1"/>
  <c r="L163" i="16"/>
  <c r="L13" i="17"/>
  <c r="L4" i="17" s="1"/>
  <c r="H23" i="11" s="1"/>
  <c r="D25" i="24" s="1"/>
  <c r="L13" i="19"/>
  <c r="L4" i="19" s="1"/>
  <c r="G23" i="11" s="1"/>
  <c r="C25" i="24" s="1"/>
  <c r="L108" i="13"/>
  <c r="L84" i="13" s="1"/>
  <c r="G7" i="11" s="1"/>
  <c r="C9" i="24" s="1"/>
  <c r="E47" i="15"/>
  <c r="E59" i="15" s="1"/>
  <c r="J59" i="15" s="1"/>
  <c r="E9" i="5"/>
  <c r="E11" i="5"/>
  <c r="E40" i="5"/>
  <c r="E17" i="15"/>
  <c r="E29" i="15" s="1"/>
  <c r="J29" i="15" s="1"/>
  <c r="E47" i="5"/>
  <c r="E59" i="5" s="1"/>
  <c r="J59" i="5" s="1"/>
  <c r="E140" i="16"/>
  <c r="E40" i="15"/>
  <c r="E41" i="15"/>
  <c r="E9" i="15"/>
  <c r="E10" i="15"/>
  <c r="E149" i="6"/>
  <c r="E41" i="5"/>
  <c r="E17" i="5"/>
  <c r="E5" i="4"/>
  <c r="C27" i="10"/>
  <c r="E56" i="1"/>
  <c r="E28" i="1"/>
  <c r="E4" i="1"/>
  <c r="L154" i="16" l="1"/>
  <c r="E37" i="11" s="1"/>
  <c r="G37" i="11" s="1"/>
  <c r="C39" i="24" s="1"/>
  <c r="E39" i="24" s="1"/>
  <c r="G39" i="24" s="1"/>
  <c r="D22" i="10" s="1"/>
  <c r="F39" i="24"/>
  <c r="H39" i="24" s="1"/>
  <c r="E22" i="10" s="1"/>
  <c r="E25" i="24"/>
  <c r="G25" i="24" s="1"/>
  <c r="F25" i="24"/>
  <c r="H25" i="24" s="1"/>
  <c r="E9" i="24"/>
  <c r="G9" i="24" s="1"/>
  <c r="J105" i="1"/>
  <c r="L105" i="1" s="1"/>
  <c r="J107" i="1"/>
  <c r="L107" i="1" s="1"/>
  <c r="J100" i="1"/>
  <c r="L100" i="1" s="1"/>
  <c r="J104" i="1"/>
  <c r="L104" i="1" s="1"/>
  <c r="J95" i="1"/>
  <c r="L95" i="1" s="1"/>
  <c r="J87" i="1"/>
  <c r="L87" i="1" s="1"/>
  <c r="J103" i="1"/>
  <c r="L103" i="1" s="1"/>
  <c r="J99" i="1"/>
  <c r="L99" i="1" s="1"/>
  <c r="J88" i="1"/>
  <c r="L88" i="1" s="1"/>
  <c r="E52" i="15"/>
  <c r="E53" i="15" s="1"/>
  <c r="E54" i="15" s="1"/>
  <c r="J54" i="15" s="1"/>
  <c r="E57" i="15"/>
  <c r="J57" i="15" s="1"/>
  <c r="J47" i="5"/>
  <c r="E22" i="15"/>
  <c r="E23" i="15" s="1"/>
  <c r="J23" i="15" s="1"/>
  <c r="E57" i="5"/>
  <c r="J57" i="5" s="1"/>
  <c r="E27" i="15"/>
  <c r="J27" i="15" s="1"/>
  <c r="E52" i="5"/>
  <c r="E53" i="5" s="1"/>
  <c r="E54" i="5" s="1"/>
  <c r="J54" i="5" s="1"/>
  <c r="E29" i="5"/>
  <c r="J29" i="5" s="1"/>
  <c r="E27" i="5"/>
  <c r="J27" i="5" s="1"/>
  <c r="E22" i="5"/>
  <c r="E23" i="5" s="1"/>
  <c r="J17" i="5"/>
  <c r="F22" i="10" l="1"/>
  <c r="J53" i="15"/>
  <c r="L53" i="15" s="1"/>
  <c r="L108" i="1"/>
  <c r="L84" i="1" s="1"/>
  <c r="H7" i="11" s="1"/>
  <c r="D9" i="24" s="1"/>
  <c r="E24" i="15"/>
  <c r="J24" i="15" s="1"/>
  <c r="J53" i="5"/>
  <c r="E24" i="5"/>
  <c r="J24" i="5" s="1"/>
  <c r="J23" i="5"/>
  <c r="L36" i="13"/>
  <c r="L65" i="13"/>
  <c r="L40" i="13"/>
  <c r="L48" i="14"/>
  <c r="L104" i="14"/>
  <c r="L35" i="14"/>
  <c r="L160" i="14"/>
  <c r="L174" i="14"/>
  <c r="L50" i="15"/>
  <c r="L21" i="15"/>
  <c r="L9" i="13"/>
  <c r="L59" i="15"/>
  <c r="L56" i="15"/>
  <c r="L49" i="15"/>
  <c r="L39" i="15"/>
  <c r="L29" i="15"/>
  <c r="L26" i="15"/>
  <c r="L20" i="15"/>
  <c r="L19" i="15"/>
  <c r="L7" i="15"/>
  <c r="L175" i="14"/>
  <c r="L161" i="14"/>
  <c r="L147" i="14"/>
  <c r="L133" i="14"/>
  <c r="L132" i="14"/>
  <c r="L119" i="14"/>
  <c r="L111" i="14"/>
  <c r="L108" i="14"/>
  <c r="L105" i="14"/>
  <c r="L97" i="14"/>
  <c r="L91" i="14"/>
  <c r="L83" i="14"/>
  <c r="L77" i="14"/>
  <c r="L63" i="14"/>
  <c r="L55" i="14"/>
  <c r="L52" i="14"/>
  <c r="L49" i="14"/>
  <c r="L41" i="14"/>
  <c r="L34" i="14"/>
  <c r="L27" i="14"/>
  <c r="L20" i="14"/>
  <c r="L7" i="14"/>
  <c r="L64" i="13"/>
  <c r="L62" i="13"/>
  <c r="L61" i="13"/>
  <c r="L37" i="13"/>
  <c r="L33" i="13"/>
  <c r="L12" i="13"/>
  <c r="L11" i="13"/>
  <c r="L10" i="13"/>
  <c r="D149" i="16"/>
  <c r="J147" i="16"/>
  <c r="J140" i="16"/>
  <c r="J139" i="16"/>
  <c r="J141" i="16"/>
  <c r="E129" i="16"/>
  <c r="E133" i="16" s="1"/>
  <c r="J133" i="16" s="1"/>
  <c r="E126" i="16"/>
  <c r="J126" i="16" s="1"/>
  <c r="J125" i="16"/>
  <c r="E112" i="16"/>
  <c r="E114" i="16" s="1"/>
  <c r="J114" i="16" s="1"/>
  <c r="J110" i="16"/>
  <c r="E100" i="16"/>
  <c r="E102" i="16" s="1"/>
  <c r="J102" i="16" s="1"/>
  <c r="J98" i="16"/>
  <c r="E88" i="16"/>
  <c r="E90" i="16" s="1"/>
  <c r="J90" i="16" s="1"/>
  <c r="J86" i="16"/>
  <c r="E76" i="16"/>
  <c r="E78" i="16" s="1"/>
  <c r="J78" i="16" s="1"/>
  <c r="L78" i="16" s="1"/>
  <c r="J74" i="16"/>
  <c r="E66" i="16"/>
  <c r="J66" i="16" s="1"/>
  <c r="J64" i="16"/>
  <c r="D58" i="16"/>
  <c r="J56" i="16"/>
  <c r="L56" i="16" s="1"/>
  <c r="E53" i="16"/>
  <c r="E57" i="16" s="1"/>
  <c r="J57" i="16" s="1"/>
  <c r="E50" i="16"/>
  <c r="J50" i="16" s="1"/>
  <c r="D43" i="16"/>
  <c r="E38" i="16"/>
  <c r="J38" i="16" s="1"/>
  <c r="E35" i="16"/>
  <c r="J35" i="16" s="1"/>
  <c r="D28" i="16"/>
  <c r="E28" i="16" s="1"/>
  <c r="E26" i="16"/>
  <c r="J26" i="16" s="1"/>
  <c r="E19" i="16"/>
  <c r="D19" i="16"/>
  <c r="E17" i="16"/>
  <c r="J17" i="16" s="1"/>
  <c r="E10" i="16"/>
  <c r="J10" i="16" s="1"/>
  <c r="E8" i="16"/>
  <c r="J8" i="16" s="1"/>
  <c r="E7" i="16"/>
  <c r="J7" i="16" s="1"/>
  <c r="L58" i="15"/>
  <c r="L55" i="15"/>
  <c r="L52" i="15"/>
  <c r="L51" i="15"/>
  <c r="J42" i="15"/>
  <c r="J41" i="15"/>
  <c r="J39" i="15"/>
  <c r="L38" i="15"/>
  <c r="L28" i="15"/>
  <c r="L25" i="15"/>
  <c r="L22" i="15"/>
  <c r="J11" i="15"/>
  <c r="J10" i="15"/>
  <c r="J8" i="15"/>
  <c r="L8" i="15" s="1"/>
  <c r="J179" i="14"/>
  <c r="L179" i="14" s="1"/>
  <c r="J174" i="14"/>
  <c r="E181" i="14"/>
  <c r="J181" i="14" s="1"/>
  <c r="J165" i="14"/>
  <c r="J160" i="14"/>
  <c r="E167" i="14"/>
  <c r="J167" i="14" s="1"/>
  <c r="J151" i="14"/>
  <c r="J146" i="14"/>
  <c r="L146" i="14" s="1"/>
  <c r="E153" i="14"/>
  <c r="J153" i="14" s="1"/>
  <c r="J137" i="14"/>
  <c r="J132" i="14"/>
  <c r="E139" i="14"/>
  <c r="J139" i="14" s="1"/>
  <c r="J123" i="14"/>
  <c r="J118" i="14"/>
  <c r="L118" i="14" s="1"/>
  <c r="E125" i="14"/>
  <c r="J125" i="14" s="1"/>
  <c r="E111" i="14"/>
  <c r="E109" i="14"/>
  <c r="E108" i="14"/>
  <c r="E97" i="14"/>
  <c r="E95" i="14"/>
  <c r="E94" i="14"/>
  <c r="E83" i="14"/>
  <c r="E81" i="14"/>
  <c r="E80" i="14"/>
  <c r="E69" i="14"/>
  <c r="J69" i="14" s="1"/>
  <c r="E67" i="14"/>
  <c r="J67" i="14" s="1"/>
  <c r="E66" i="14"/>
  <c r="J66" i="14" s="1"/>
  <c r="E55" i="14"/>
  <c r="E53" i="14"/>
  <c r="E52" i="14"/>
  <c r="E41" i="14"/>
  <c r="E39" i="14"/>
  <c r="E38" i="14"/>
  <c r="E27" i="14"/>
  <c r="E25" i="14"/>
  <c r="E24" i="14"/>
  <c r="E13" i="14"/>
  <c r="J13" i="14" s="1"/>
  <c r="E11" i="14"/>
  <c r="J11" i="14" s="1"/>
  <c r="E10" i="14"/>
  <c r="J10" i="14" s="1"/>
  <c r="E79" i="13"/>
  <c r="J79" i="13" s="1"/>
  <c r="L78" i="13"/>
  <c r="E77" i="13"/>
  <c r="J77" i="13" s="1"/>
  <c r="E76" i="13"/>
  <c r="J76" i="13" s="1"/>
  <c r="E75" i="13"/>
  <c r="J75" i="13" s="1"/>
  <c r="L74" i="13"/>
  <c r="L73" i="13"/>
  <c r="E72" i="13"/>
  <c r="J72" i="13" s="1"/>
  <c r="E71" i="13"/>
  <c r="J71" i="13" s="1"/>
  <c r="E67" i="13"/>
  <c r="J67" i="13" s="1"/>
  <c r="L63" i="13"/>
  <c r="E60" i="13"/>
  <c r="J60" i="13" s="1"/>
  <c r="E59" i="13"/>
  <c r="J59" i="13" s="1"/>
  <c r="E51" i="13"/>
  <c r="J51" i="13" s="1"/>
  <c r="E49" i="13"/>
  <c r="J49" i="13" s="1"/>
  <c r="E48" i="13"/>
  <c r="J48" i="13" s="1"/>
  <c r="E47" i="13"/>
  <c r="J47" i="13" s="1"/>
  <c r="E44" i="13"/>
  <c r="J44" i="13" s="1"/>
  <c r="E43" i="13"/>
  <c r="J43" i="13" s="1"/>
  <c r="E39" i="13"/>
  <c r="J39" i="13" s="1"/>
  <c r="L35" i="13"/>
  <c r="L34" i="13"/>
  <c r="E32" i="13"/>
  <c r="J32" i="13" s="1"/>
  <c r="E31" i="13"/>
  <c r="J31" i="13" s="1"/>
  <c r="E23" i="13"/>
  <c r="J23" i="13" s="1"/>
  <c r="E22" i="13"/>
  <c r="J22" i="13" s="1"/>
  <c r="E21" i="13"/>
  <c r="J21" i="13" s="1"/>
  <c r="E18" i="13"/>
  <c r="J18" i="13" s="1"/>
  <c r="E17" i="13"/>
  <c r="J17" i="13" s="1"/>
  <c r="L13" i="13"/>
  <c r="E8" i="13"/>
  <c r="J8" i="13" s="1"/>
  <c r="E7" i="13"/>
  <c r="J7" i="13" s="1"/>
  <c r="C32" i="12"/>
  <c r="C31" i="12"/>
  <c r="C30" i="12"/>
  <c r="C29" i="12"/>
  <c r="G21" i="28" l="1"/>
  <c r="H21" i="28" s="1"/>
  <c r="F9" i="24"/>
  <c r="H9" i="24" s="1"/>
  <c r="L17" i="13"/>
  <c r="L50" i="16"/>
  <c r="L38" i="14"/>
  <c r="L23" i="15"/>
  <c r="L140" i="16"/>
  <c r="L47" i="15"/>
  <c r="L24" i="15"/>
  <c r="L98" i="16"/>
  <c r="L7" i="13"/>
  <c r="L22" i="13"/>
  <c r="L59" i="13"/>
  <c r="L76" i="13"/>
  <c r="L62" i="14"/>
  <c r="L57" i="15"/>
  <c r="L17" i="16"/>
  <c r="L18" i="16" s="1"/>
  <c r="L35" i="16"/>
  <c r="L36" i="16" s="1"/>
  <c r="L110" i="16"/>
  <c r="L8" i="13"/>
  <c r="L48" i="13"/>
  <c r="L68" i="13"/>
  <c r="L77" i="13"/>
  <c r="L17" i="15"/>
  <c r="L57" i="16"/>
  <c r="L32" i="13"/>
  <c r="L49" i="13"/>
  <c r="L27" i="15"/>
  <c r="L8" i="16"/>
  <c r="L26" i="16"/>
  <c r="L27" i="16" s="1"/>
  <c r="L90" i="16"/>
  <c r="L153" i="14"/>
  <c r="L141" i="16"/>
  <c r="L139" i="16"/>
  <c r="L125" i="16"/>
  <c r="J112" i="16"/>
  <c r="L102" i="16"/>
  <c r="J88" i="16"/>
  <c r="J76" i="16"/>
  <c r="L64" i="16"/>
  <c r="J53" i="16"/>
  <c r="L53" i="16" s="1"/>
  <c r="J19" i="16"/>
  <c r="L19" i="16" s="1"/>
  <c r="L51" i="13"/>
  <c r="L44" i="13"/>
  <c r="L79" i="13"/>
  <c r="L60" i="13"/>
  <c r="L18" i="13"/>
  <c r="L25" i="14"/>
  <c r="L39" i="14"/>
  <c r="L53" i="14"/>
  <c r="L56" i="14" s="1"/>
  <c r="L66" i="14"/>
  <c r="L95" i="14"/>
  <c r="L109" i="14"/>
  <c r="L110" i="14" s="1"/>
  <c r="L11" i="15"/>
  <c r="L54" i="15"/>
  <c r="L7" i="16"/>
  <c r="L38" i="16"/>
  <c r="L10" i="16"/>
  <c r="L11" i="14"/>
  <c r="L80" i="14"/>
  <c r="L123" i="14"/>
  <c r="L137" i="14"/>
  <c r="L165" i="14"/>
  <c r="L10" i="15"/>
  <c r="L41" i="15"/>
  <c r="L147" i="16"/>
  <c r="L6" i="14"/>
  <c r="L21" i="14"/>
  <c r="L76" i="14"/>
  <c r="L90" i="14"/>
  <c r="L55" i="16"/>
  <c r="L31" i="13"/>
  <c r="L47" i="13"/>
  <c r="L71" i="13"/>
  <c r="L10" i="14"/>
  <c r="L24" i="14"/>
  <c r="L67" i="14"/>
  <c r="L81" i="14"/>
  <c r="L94" i="14"/>
  <c r="L151" i="14"/>
  <c r="L133" i="16"/>
  <c r="L13" i="14"/>
  <c r="L69" i="14"/>
  <c r="L125" i="14"/>
  <c r="L181" i="14"/>
  <c r="L114" i="16"/>
  <c r="L86" i="16"/>
  <c r="L74" i="16"/>
  <c r="L14" i="13"/>
  <c r="L66" i="16"/>
  <c r="L126" i="16"/>
  <c r="J28" i="16"/>
  <c r="L28" i="16" s="1"/>
  <c r="E58" i="16"/>
  <c r="J58" i="16" s="1"/>
  <c r="L58" i="16" s="1"/>
  <c r="J100" i="16"/>
  <c r="L100" i="16" s="1"/>
  <c r="E40" i="16"/>
  <c r="J40" i="16" s="1"/>
  <c r="E41" i="16"/>
  <c r="E68" i="16"/>
  <c r="J68" i="16" s="1"/>
  <c r="E130" i="16"/>
  <c r="J130" i="16" s="1"/>
  <c r="E54" i="16"/>
  <c r="J54" i="16" s="1"/>
  <c r="L54" i="16" s="1"/>
  <c r="J129" i="16"/>
  <c r="L129" i="16" s="1"/>
  <c r="E148" i="16"/>
  <c r="L42" i="15"/>
  <c r="L139" i="14"/>
  <c r="L167" i="14"/>
  <c r="E122" i="14"/>
  <c r="J122" i="14" s="1"/>
  <c r="E136" i="14"/>
  <c r="J136" i="14" s="1"/>
  <c r="E150" i="14"/>
  <c r="J150" i="14" s="1"/>
  <c r="E164" i="14"/>
  <c r="J164" i="14" s="1"/>
  <c r="E178" i="14"/>
  <c r="J178" i="14" s="1"/>
  <c r="L21" i="13"/>
  <c r="L43" i="13"/>
  <c r="L72" i="13"/>
  <c r="L75" i="13"/>
  <c r="L39" i="13"/>
  <c r="L66" i="13"/>
  <c r="L67" i="13"/>
  <c r="L38" i="13"/>
  <c r="L23" i="13"/>
  <c r="C36" i="11"/>
  <c r="C34" i="12" s="1"/>
  <c r="C35" i="11"/>
  <c r="C33" i="12" s="1"/>
  <c r="C30" i="11"/>
  <c r="C28" i="12" s="1"/>
  <c r="C29" i="11"/>
  <c r="C27" i="12" s="1"/>
  <c r="C28" i="11"/>
  <c r="C26" i="12" s="1"/>
  <c r="C27" i="11"/>
  <c r="C25" i="12" s="1"/>
  <c r="C26" i="11"/>
  <c r="C24" i="12" s="1"/>
  <c r="C25" i="11"/>
  <c r="C23" i="12" s="1"/>
  <c r="C24" i="11"/>
  <c r="C22" i="12" s="1"/>
  <c r="C22" i="11"/>
  <c r="C21" i="12" s="1"/>
  <c r="C21" i="11"/>
  <c r="C20" i="12" s="1"/>
  <c r="C20" i="11"/>
  <c r="C19" i="12" s="1"/>
  <c r="C19" i="11"/>
  <c r="C18" i="12" s="1"/>
  <c r="C18" i="11"/>
  <c r="C17" i="12" s="1"/>
  <c r="C17" i="11"/>
  <c r="C16" i="12" s="1"/>
  <c r="C16" i="11"/>
  <c r="C15" i="12" s="1"/>
  <c r="C15" i="11"/>
  <c r="C14" i="12" s="1"/>
  <c r="C14" i="11"/>
  <c r="C13" i="12" s="1"/>
  <c r="C13" i="11"/>
  <c r="C12" i="12" s="1"/>
  <c r="C12" i="11"/>
  <c r="C11" i="12" s="1"/>
  <c r="C11" i="11"/>
  <c r="C10" i="12" s="1"/>
  <c r="C10" i="11"/>
  <c r="C9" i="12" s="1"/>
  <c r="C9" i="11"/>
  <c r="C8" i="12" s="1"/>
  <c r="C8" i="11"/>
  <c r="C7" i="12" s="1"/>
  <c r="C6" i="11"/>
  <c r="C6" i="12" s="1"/>
  <c r="C5" i="11"/>
  <c r="C5" i="12" s="1"/>
  <c r="C4" i="11"/>
  <c r="C4" i="12" s="1"/>
  <c r="E8" i="6"/>
  <c r="J8" i="6" s="1"/>
  <c r="E112" i="6"/>
  <c r="J112" i="6" s="1"/>
  <c r="J110" i="6"/>
  <c r="J148" i="6"/>
  <c r="D150" i="6"/>
  <c r="E150" i="6" s="1"/>
  <c r="D142" i="6"/>
  <c r="E142" i="6" s="1"/>
  <c r="J141" i="6"/>
  <c r="J140" i="6"/>
  <c r="L88" i="16" l="1"/>
  <c r="L91" i="16" s="1"/>
  <c r="L136" i="14"/>
  <c r="L140" i="14" s="1"/>
  <c r="L40" i="14"/>
  <c r="L130" i="16"/>
  <c r="L134" i="16" s="1"/>
  <c r="L31" i="15"/>
  <c r="L96" i="14"/>
  <c r="L76" i="16"/>
  <c r="L79" i="16" s="1"/>
  <c r="L112" i="14"/>
  <c r="L44" i="15"/>
  <c r="L142" i="16"/>
  <c r="L138" i="16" s="1"/>
  <c r="G35" i="11" s="1"/>
  <c r="C37" i="24" s="1"/>
  <c r="L178" i="14"/>
  <c r="L182" i="14" s="1"/>
  <c r="L122" i="14"/>
  <c r="L124" i="14" s="1"/>
  <c r="L42" i="14"/>
  <c r="L61" i="15"/>
  <c r="L29" i="16"/>
  <c r="L24" i="16" s="1"/>
  <c r="G26" i="11" s="1"/>
  <c r="C28" i="24" s="1"/>
  <c r="L112" i="16"/>
  <c r="L115" i="16" s="1"/>
  <c r="L98" i="14"/>
  <c r="L54" i="14"/>
  <c r="L46" i="14" s="1"/>
  <c r="G11" i="11" s="1"/>
  <c r="C13" i="24" s="1"/>
  <c r="L84" i="14"/>
  <c r="L20" i="16"/>
  <c r="L15" i="16" s="1"/>
  <c r="G25" i="11" s="1"/>
  <c r="C27" i="24" s="1"/>
  <c r="L82" i="14"/>
  <c r="L68" i="14"/>
  <c r="L26" i="14"/>
  <c r="L13" i="15"/>
  <c r="L92" i="16"/>
  <c r="L84" i="16" s="1"/>
  <c r="N84" i="16" s="1"/>
  <c r="G31" i="11" s="1"/>
  <c r="C33" i="24" s="1"/>
  <c r="L43" i="15"/>
  <c r="L12" i="15"/>
  <c r="J142" i="6"/>
  <c r="L142" i="6" s="1"/>
  <c r="L28" i="14"/>
  <c r="L12" i="14"/>
  <c r="L150" i="14"/>
  <c r="L154" i="14" s="1"/>
  <c r="L70" i="14"/>
  <c r="L11" i="16"/>
  <c r="L4" i="16" s="1"/>
  <c r="G24" i="11" s="1"/>
  <c r="C26" i="24" s="1"/>
  <c r="L164" i="14"/>
  <c r="L168" i="14" s="1"/>
  <c r="L40" i="16"/>
  <c r="L102" i="14"/>
  <c r="G15" i="11" s="1"/>
  <c r="C17" i="24" s="1"/>
  <c r="L14" i="14"/>
  <c r="L68" i="16"/>
  <c r="L69" i="16" s="1"/>
  <c r="L63" i="16" s="1"/>
  <c r="G29" i="11" s="1"/>
  <c r="C31" i="24" s="1"/>
  <c r="L73" i="16"/>
  <c r="G30" i="11" s="1"/>
  <c r="C32" i="24" s="1"/>
  <c r="L80" i="13"/>
  <c r="L56" i="13" s="1"/>
  <c r="G6" i="11" s="1"/>
  <c r="C8" i="24" s="1"/>
  <c r="L103" i="16"/>
  <c r="L104" i="16"/>
  <c r="J41" i="16"/>
  <c r="L41" i="16" s="1"/>
  <c r="L42" i="16" s="1"/>
  <c r="E43" i="16"/>
  <c r="J43" i="16" s="1"/>
  <c r="L43" i="16" s="1"/>
  <c r="L51" i="16"/>
  <c r="L59" i="16"/>
  <c r="E149" i="16"/>
  <c r="J149" i="16" s="1"/>
  <c r="L149" i="16" s="1"/>
  <c r="J148" i="16"/>
  <c r="L148" i="16" s="1"/>
  <c r="L52" i="13"/>
  <c r="L28" i="13" s="1"/>
  <c r="G5" i="11" s="1"/>
  <c r="C7" i="24" s="1"/>
  <c r="L24" i="13"/>
  <c r="L4" i="13" s="1"/>
  <c r="L148" i="6"/>
  <c r="L140" i="6"/>
  <c r="L110" i="6"/>
  <c r="L112" i="6"/>
  <c r="L115" i="6" s="1"/>
  <c r="L141" i="6"/>
  <c r="E114" i="6"/>
  <c r="J114" i="6" s="1"/>
  <c r="L114" i="6" s="1"/>
  <c r="J149" i="6"/>
  <c r="L149" i="6" s="1"/>
  <c r="J150" i="6"/>
  <c r="L150" i="6" s="1"/>
  <c r="J125" i="6"/>
  <c r="L125" i="6" s="1"/>
  <c r="E129" i="6"/>
  <c r="E130" i="6" s="1"/>
  <c r="J130" i="6" s="1"/>
  <c r="L130" i="6" s="1"/>
  <c r="E126" i="6"/>
  <c r="J126" i="6" s="1"/>
  <c r="L126" i="6" s="1"/>
  <c r="J98" i="6"/>
  <c r="L98" i="6" s="1"/>
  <c r="E100" i="6"/>
  <c r="E102" i="6" s="1"/>
  <c r="J102" i="6" s="1"/>
  <c r="L102" i="6" s="1"/>
  <c r="J86" i="6"/>
  <c r="L86" i="6" s="1"/>
  <c r="E88" i="6"/>
  <c r="J88" i="6" s="1"/>
  <c r="L88" i="6" s="1"/>
  <c r="L91" i="6" s="1"/>
  <c r="J74" i="6"/>
  <c r="L74" i="6" s="1"/>
  <c r="E76" i="6"/>
  <c r="J76" i="6" s="1"/>
  <c r="L76" i="6" s="1"/>
  <c r="J64" i="6"/>
  <c r="L64" i="6" s="1"/>
  <c r="E66" i="6"/>
  <c r="E68" i="6" s="1"/>
  <c r="J68" i="6" s="1"/>
  <c r="L68" i="6" s="1"/>
  <c r="L55" i="6"/>
  <c r="D58" i="6"/>
  <c r="J56" i="6"/>
  <c r="L56" i="6" s="1"/>
  <c r="E53" i="6"/>
  <c r="E54" i="6" s="1"/>
  <c r="J54" i="6" s="1"/>
  <c r="L54" i="6" s="1"/>
  <c r="E50" i="6"/>
  <c r="J50" i="6" s="1"/>
  <c r="L50" i="6" s="1"/>
  <c r="E38" i="6"/>
  <c r="E40" i="6" s="1"/>
  <c r="J40" i="6" s="1"/>
  <c r="L40" i="6" s="1"/>
  <c r="D43" i="6"/>
  <c r="E35" i="6"/>
  <c r="J35" i="6" s="1"/>
  <c r="L35" i="6" s="1"/>
  <c r="D28" i="6"/>
  <c r="E28" i="6" s="1"/>
  <c r="E26" i="6"/>
  <c r="J26" i="6" s="1"/>
  <c r="L26" i="6" s="1"/>
  <c r="E17" i="6"/>
  <c r="J17" i="6" s="1"/>
  <c r="L17" i="6" s="1"/>
  <c r="L18" i="6" s="1"/>
  <c r="E19" i="6"/>
  <c r="D19" i="6"/>
  <c r="L8" i="6"/>
  <c r="E10" i="6"/>
  <c r="J10" i="6" s="1"/>
  <c r="L10" i="6" s="1"/>
  <c r="E7" i="6"/>
  <c r="J7" i="6" s="1"/>
  <c r="L7" i="6" s="1"/>
  <c r="G4" i="11" l="1"/>
  <c r="C6" i="24" s="1"/>
  <c r="E6" i="24" s="1"/>
  <c r="G6" i="24" s="1"/>
  <c r="E27" i="24"/>
  <c r="G27" i="24" s="1"/>
  <c r="E32" i="24"/>
  <c r="G32" i="24" s="1"/>
  <c r="D23" i="10" s="1"/>
  <c r="E28" i="24"/>
  <c r="G28" i="24" s="1"/>
  <c r="D21" i="10" s="1"/>
  <c r="E31" i="24"/>
  <c r="G31" i="24" s="1"/>
  <c r="E37" i="24"/>
  <c r="G37" i="24" s="1"/>
  <c r="D27" i="10" s="1"/>
  <c r="E26" i="24"/>
  <c r="G26" i="24" s="1"/>
  <c r="D20" i="10" s="1"/>
  <c r="E33" i="24"/>
  <c r="G33" i="24" s="1"/>
  <c r="E8" i="24"/>
  <c r="G8" i="24" s="1"/>
  <c r="E17" i="24"/>
  <c r="G17" i="24" s="1"/>
  <c r="E13" i="24"/>
  <c r="G13" i="24" s="1"/>
  <c r="E7" i="24"/>
  <c r="G7" i="24" s="1"/>
  <c r="L126" i="14"/>
  <c r="L138" i="14"/>
  <c r="L130" i="14" s="1"/>
  <c r="G17" i="11" s="1"/>
  <c r="C19" i="24" s="1"/>
  <c r="L132" i="16"/>
  <c r="L120" i="16" s="1"/>
  <c r="N120" i="16" s="1"/>
  <c r="G34" i="11" s="1"/>
  <c r="C36" i="24" s="1"/>
  <c r="L32" i="14"/>
  <c r="G10" i="11" s="1"/>
  <c r="C12" i="24" s="1"/>
  <c r="L45" i="15"/>
  <c r="L35" i="15" s="1"/>
  <c r="G22" i="11" s="1"/>
  <c r="C24" i="24" s="1"/>
  <c r="L18" i="14"/>
  <c r="G9" i="11" s="1"/>
  <c r="C11" i="24" s="1"/>
  <c r="L74" i="14"/>
  <c r="G13" i="11" s="1"/>
  <c r="C15" i="24" s="1"/>
  <c r="L88" i="14"/>
  <c r="G14" i="11" s="1"/>
  <c r="C16" i="24" s="1"/>
  <c r="L180" i="14"/>
  <c r="L172" i="14" s="1"/>
  <c r="G20" i="11" s="1"/>
  <c r="C22" i="24" s="1"/>
  <c r="L14" i="15"/>
  <c r="L15" i="15" s="1"/>
  <c r="L4" i="15" s="1"/>
  <c r="G21" i="11" s="1"/>
  <c r="C23" i="24" s="1"/>
  <c r="L116" i="16"/>
  <c r="L108" i="16" s="1"/>
  <c r="N108" i="16" s="1"/>
  <c r="E33" i="11" s="1"/>
  <c r="G33" i="11" s="1"/>
  <c r="C35" i="24" s="1"/>
  <c r="L152" i="14"/>
  <c r="L144" i="14" s="1"/>
  <c r="G18" i="11" s="1"/>
  <c r="C20" i="24" s="1"/>
  <c r="L60" i="14"/>
  <c r="G12" i="11" s="1"/>
  <c r="C14" i="24" s="1"/>
  <c r="L44" i="16"/>
  <c r="L33" i="16" s="1"/>
  <c r="G27" i="11" s="1"/>
  <c r="C29" i="24" s="1"/>
  <c r="L166" i="14"/>
  <c r="L158" i="14" s="1"/>
  <c r="G19" i="11" s="1"/>
  <c r="C21" i="24" s="1"/>
  <c r="L4" i="14"/>
  <c r="G8" i="11" s="1"/>
  <c r="C10" i="24" s="1"/>
  <c r="L116" i="14"/>
  <c r="G16" i="11" s="1"/>
  <c r="C18" i="24" s="1"/>
  <c r="L96" i="16"/>
  <c r="N96" i="16" s="1"/>
  <c r="G32" i="11" s="1"/>
  <c r="C34" i="24" s="1"/>
  <c r="L48" i="16"/>
  <c r="G28" i="11" s="1"/>
  <c r="C30" i="24" s="1"/>
  <c r="L150" i="16"/>
  <c r="L146" i="16" s="1"/>
  <c r="G36" i="11" s="1"/>
  <c r="C38" i="24" s="1"/>
  <c r="L116" i="6"/>
  <c r="L108" i="6" s="1"/>
  <c r="N108" i="6" s="1"/>
  <c r="F33" i="11" s="1"/>
  <c r="H33" i="11" s="1"/>
  <c r="D35" i="24" s="1"/>
  <c r="L143" i="6"/>
  <c r="L138" i="6" s="1"/>
  <c r="H35" i="11" s="1"/>
  <c r="D37" i="24" s="1"/>
  <c r="E78" i="6"/>
  <c r="J78" i="6" s="1"/>
  <c r="L78" i="6" s="1"/>
  <c r="L79" i="6" s="1"/>
  <c r="E133" i="6"/>
  <c r="J133" i="6" s="1"/>
  <c r="L133" i="6" s="1"/>
  <c r="J129" i="6"/>
  <c r="L129" i="6" s="1"/>
  <c r="L132" i="6" s="1"/>
  <c r="E90" i="6"/>
  <c r="J90" i="6" s="1"/>
  <c r="L90" i="6" s="1"/>
  <c r="L92" i="6" s="1"/>
  <c r="L84" i="6" s="1"/>
  <c r="N84" i="6" s="1"/>
  <c r="H31" i="11" s="1"/>
  <c r="D33" i="24" s="1"/>
  <c r="L151" i="6"/>
  <c r="L147" i="6" s="1"/>
  <c r="H36" i="11" s="1"/>
  <c r="D38" i="24" s="1"/>
  <c r="J100" i="6"/>
  <c r="L100" i="6" s="1"/>
  <c r="L103" i="6" s="1"/>
  <c r="E57" i="6"/>
  <c r="J57" i="6" s="1"/>
  <c r="L57" i="6" s="1"/>
  <c r="J66" i="6"/>
  <c r="L66" i="6" s="1"/>
  <c r="L69" i="6" s="1"/>
  <c r="L63" i="6" s="1"/>
  <c r="H29" i="11" s="1"/>
  <c r="D31" i="24" s="1"/>
  <c r="E58" i="6"/>
  <c r="J58" i="6" s="1"/>
  <c r="L58" i="6" s="1"/>
  <c r="J53" i="6"/>
  <c r="L53" i="6" s="1"/>
  <c r="L51" i="6"/>
  <c r="J38" i="6"/>
  <c r="L38" i="6" s="1"/>
  <c r="E41" i="6"/>
  <c r="J41" i="6" s="1"/>
  <c r="L41" i="6" s="1"/>
  <c r="L42" i="6" s="1"/>
  <c r="L36" i="6"/>
  <c r="J19" i="6"/>
  <c r="L19" i="6" s="1"/>
  <c r="L20" i="6" s="1"/>
  <c r="J28" i="6"/>
  <c r="L28" i="6" s="1"/>
  <c r="L29" i="6" s="1"/>
  <c r="L27" i="6"/>
  <c r="L11" i="6"/>
  <c r="L4" i="6" s="1"/>
  <c r="H24" i="11" s="1"/>
  <c r="D26" i="24" s="1"/>
  <c r="E125" i="4"/>
  <c r="J125" i="4" s="1"/>
  <c r="L125" i="4" s="1"/>
  <c r="E181" i="4"/>
  <c r="J181" i="4" s="1"/>
  <c r="L181" i="4" s="1"/>
  <c r="E136" i="4"/>
  <c r="J136" i="4" s="1"/>
  <c r="L136" i="4" s="1"/>
  <c r="E167" i="4"/>
  <c r="J167" i="4" s="1"/>
  <c r="L167" i="4" s="1"/>
  <c r="E150" i="4"/>
  <c r="J150" i="4" s="1"/>
  <c r="L150" i="4" s="1"/>
  <c r="J179" i="4"/>
  <c r="J165" i="4"/>
  <c r="L165" i="4" s="1"/>
  <c r="J151" i="4"/>
  <c r="E139" i="4"/>
  <c r="J139" i="4" s="1"/>
  <c r="L139" i="4" s="1"/>
  <c r="J123" i="4"/>
  <c r="J137" i="4"/>
  <c r="L137" i="4" s="1"/>
  <c r="E109" i="4"/>
  <c r="J109" i="4" s="1"/>
  <c r="L109" i="4" s="1"/>
  <c r="E108" i="4"/>
  <c r="J108" i="4" s="1"/>
  <c r="L108" i="4" s="1"/>
  <c r="E97" i="4"/>
  <c r="J97" i="4" s="1"/>
  <c r="L97" i="4" s="1"/>
  <c r="E95" i="4"/>
  <c r="J95" i="4" s="1"/>
  <c r="L95" i="4" s="1"/>
  <c r="E94" i="4"/>
  <c r="J94" i="4" s="1"/>
  <c r="L94" i="4" s="1"/>
  <c r="E83" i="4"/>
  <c r="J83" i="4" s="1"/>
  <c r="L83" i="4" s="1"/>
  <c r="E81" i="4"/>
  <c r="J81" i="4" s="1"/>
  <c r="L81" i="4" s="1"/>
  <c r="E80" i="4"/>
  <c r="J80" i="4" s="1"/>
  <c r="L80" i="4" s="1"/>
  <c r="E69" i="4"/>
  <c r="J69" i="4" s="1"/>
  <c r="L69" i="4" s="1"/>
  <c r="E67" i="4"/>
  <c r="J67" i="4" s="1"/>
  <c r="L67" i="4" s="1"/>
  <c r="E66" i="4"/>
  <c r="J66" i="4" s="1"/>
  <c r="L66" i="4" s="1"/>
  <c r="E55" i="4"/>
  <c r="J55" i="4" s="1"/>
  <c r="L55" i="4" s="1"/>
  <c r="E53" i="4"/>
  <c r="J53" i="4" s="1"/>
  <c r="L53" i="4" s="1"/>
  <c r="E52" i="4"/>
  <c r="J52" i="4" s="1"/>
  <c r="L52" i="4" s="1"/>
  <c r="E41" i="4"/>
  <c r="J41" i="4" s="1"/>
  <c r="L41" i="4" s="1"/>
  <c r="E39" i="4"/>
  <c r="J39" i="4" s="1"/>
  <c r="L39" i="4" s="1"/>
  <c r="E38" i="4"/>
  <c r="J38" i="4" s="1"/>
  <c r="L38" i="4" s="1"/>
  <c r="E27" i="4"/>
  <c r="J27" i="4" s="1"/>
  <c r="L27" i="4" s="1"/>
  <c r="E25" i="4"/>
  <c r="J25" i="4" s="1"/>
  <c r="L25" i="4" s="1"/>
  <c r="E24" i="4"/>
  <c r="J24" i="4" s="1"/>
  <c r="L24" i="4" s="1"/>
  <c r="E13" i="4"/>
  <c r="J13" i="4" s="1"/>
  <c r="L13" i="4" s="1"/>
  <c r="E11" i="4"/>
  <c r="J11" i="4" s="1"/>
  <c r="L11" i="4" s="1"/>
  <c r="E10" i="4"/>
  <c r="L179" i="4"/>
  <c r="L175" i="4"/>
  <c r="L161" i="4"/>
  <c r="L151" i="4"/>
  <c r="L147" i="4"/>
  <c r="L133" i="4"/>
  <c r="L123" i="4"/>
  <c r="L119" i="4"/>
  <c r="L111" i="4"/>
  <c r="L105" i="4"/>
  <c r="L104" i="4"/>
  <c r="L91" i="4"/>
  <c r="L90" i="4"/>
  <c r="L77" i="4"/>
  <c r="L76" i="4"/>
  <c r="L63" i="4"/>
  <c r="L62" i="4"/>
  <c r="L49" i="4"/>
  <c r="L48" i="4"/>
  <c r="L35" i="4"/>
  <c r="L34" i="4"/>
  <c r="L21" i="4"/>
  <c r="L20" i="4"/>
  <c r="L7" i="4"/>
  <c r="L6" i="4"/>
  <c r="F26" i="24" l="1"/>
  <c r="H26" i="24" s="1"/>
  <c r="E20" i="10" s="1"/>
  <c r="F20" i="10" s="1"/>
  <c r="G9" i="28" s="1"/>
  <c r="H9" i="28" s="1"/>
  <c r="E38" i="24"/>
  <c r="G38" i="24" s="1"/>
  <c r="D28" i="10" s="1"/>
  <c r="F38" i="24"/>
  <c r="H38" i="24" s="1"/>
  <c r="E28" i="10" s="1"/>
  <c r="E35" i="24"/>
  <c r="G35" i="24" s="1"/>
  <c r="E36" i="24"/>
  <c r="G36" i="24" s="1"/>
  <c r="D26" i="10" s="1"/>
  <c r="F31" i="24"/>
  <c r="H31" i="24" s="1"/>
  <c r="F33" i="24"/>
  <c r="H33" i="24" s="1"/>
  <c r="F37" i="24"/>
  <c r="H37" i="24" s="1"/>
  <c r="E27" i="10" s="1"/>
  <c r="F27" i="10" s="1"/>
  <c r="G13" i="28" s="1"/>
  <c r="H13" i="28" s="1"/>
  <c r="E34" i="24"/>
  <c r="G34" i="24" s="1"/>
  <c r="D25" i="10" s="1"/>
  <c r="E29" i="24"/>
  <c r="G29" i="24" s="1"/>
  <c r="F35" i="24"/>
  <c r="H35" i="24" s="1"/>
  <c r="E23" i="24"/>
  <c r="G23" i="24" s="1"/>
  <c r="E11" i="24"/>
  <c r="G11" i="24" s="1"/>
  <c r="E19" i="24"/>
  <c r="G19" i="24" s="1"/>
  <c r="E18" i="24"/>
  <c r="G18" i="24" s="1"/>
  <c r="E14" i="24"/>
  <c r="G14" i="24" s="1"/>
  <c r="E22" i="24"/>
  <c r="G22" i="24" s="1"/>
  <c r="E24" i="24"/>
  <c r="G24" i="24" s="1"/>
  <c r="E10" i="24"/>
  <c r="G10" i="24" s="1"/>
  <c r="E16" i="24"/>
  <c r="G16" i="24" s="1"/>
  <c r="E12" i="24"/>
  <c r="G12" i="24" s="1"/>
  <c r="E20" i="24"/>
  <c r="G20" i="24" s="1"/>
  <c r="E30" i="24"/>
  <c r="G30" i="24" s="1"/>
  <c r="E21" i="24"/>
  <c r="G21" i="24" s="1"/>
  <c r="E15" i="24"/>
  <c r="G15" i="24" s="1"/>
  <c r="J10" i="4"/>
  <c r="L10" i="4" s="1"/>
  <c r="L59" i="6"/>
  <c r="L48" i="6" s="1"/>
  <c r="H28" i="11" s="1"/>
  <c r="D30" i="24" s="1"/>
  <c r="L110" i="4"/>
  <c r="L68" i="4"/>
  <c r="L73" i="6"/>
  <c r="H30" i="11" s="1"/>
  <c r="D32" i="24" s="1"/>
  <c r="L134" i="6"/>
  <c r="L120" i="6" s="1"/>
  <c r="N120" i="6" s="1"/>
  <c r="H34" i="11" s="1"/>
  <c r="D36" i="24" s="1"/>
  <c r="L56" i="4"/>
  <c r="L82" i="4"/>
  <c r="L112" i="4"/>
  <c r="L98" i="4"/>
  <c r="L84" i="4"/>
  <c r="L70" i="4"/>
  <c r="L54" i="4"/>
  <c r="L40" i="4"/>
  <c r="L28" i="4"/>
  <c r="L26" i="4"/>
  <c r="L104" i="6"/>
  <c r="L96" i="6" s="1"/>
  <c r="N96" i="6" s="1"/>
  <c r="H32" i="11" s="1"/>
  <c r="D34" i="24" s="1"/>
  <c r="E43" i="6"/>
  <c r="J43" i="6" s="1"/>
  <c r="L43" i="6" s="1"/>
  <c r="L44" i="6" s="1"/>
  <c r="L15" i="6"/>
  <c r="H25" i="11" s="1"/>
  <c r="D27" i="24" s="1"/>
  <c r="L24" i="6"/>
  <c r="H26" i="11" s="1"/>
  <c r="D28" i="24" s="1"/>
  <c r="E122" i="4"/>
  <c r="J122" i="4" s="1"/>
  <c r="L122" i="4" s="1"/>
  <c r="L126" i="4" s="1"/>
  <c r="L152" i="4"/>
  <c r="E178" i="4"/>
  <c r="J178" i="4" s="1"/>
  <c r="L178" i="4" s="1"/>
  <c r="L182" i="4" s="1"/>
  <c r="E164" i="4"/>
  <c r="J164" i="4" s="1"/>
  <c r="L164" i="4" s="1"/>
  <c r="L166" i="4" s="1"/>
  <c r="E153" i="4"/>
  <c r="J153" i="4" s="1"/>
  <c r="L153" i="4" s="1"/>
  <c r="L154" i="4" s="1"/>
  <c r="L140" i="4"/>
  <c r="L138" i="4"/>
  <c r="L96" i="4"/>
  <c r="L42" i="4"/>
  <c r="J174" i="4"/>
  <c r="L174" i="4" s="1"/>
  <c r="J132" i="4"/>
  <c r="L132" i="4" s="1"/>
  <c r="J146" i="4"/>
  <c r="L146" i="4" s="1"/>
  <c r="J39" i="5"/>
  <c r="L59" i="5"/>
  <c r="L58" i="5"/>
  <c r="L57" i="5"/>
  <c r="L56" i="5"/>
  <c r="L55" i="5"/>
  <c r="L54" i="5"/>
  <c r="L53" i="5"/>
  <c r="L52" i="5"/>
  <c r="L51" i="5"/>
  <c r="L50" i="5"/>
  <c r="L49" i="5"/>
  <c r="L47" i="5"/>
  <c r="J42" i="5"/>
  <c r="L42" i="5" s="1"/>
  <c r="J41" i="5"/>
  <c r="L41" i="5" s="1"/>
  <c r="L39" i="5"/>
  <c r="L38" i="5"/>
  <c r="L20" i="5"/>
  <c r="L29" i="5"/>
  <c r="L28" i="5"/>
  <c r="L27" i="5"/>
  <c r="L26" i="5"/>
  <c r="L25" i="5"/>
  <c r="L24" i="5"/>
  <c r="L23" i="5"/>
  <c r="L22" i="5"/>
  <c r="L21" i="5"/>
  <c r="L19" i="5"/>
  <c r="L17" i="5"/>
  <c r="J11" i="5"/>
  <c r="L11" i="5" s="1"/>
  <c r="L10" i="5"/>
  <c r="L7" i="5"/>
  <c r="J8" i="5"/>
  <c r="L8" i="5" s="1"/>
  <c r="J160" i="4"/>
  <c r="L160" i="4" s="1"/>
  <c r="J118" i="4"/>
  <c r="L118" i="4" s="1"/>
  <c r="L65" i="1"/>
  <c r="L64" i="1"/>
  <c r="L68" i="1"/>
  <c r="L63" i="1"/>
  <c r="L62" i="1"/>
  <c r="L61" i="1"/>
  <c r="L40" i="1"/>
  <c r="L37" i="1"/>
  <c r="L36" i="1"/>
  <c r="L35" i="1"/>
  <c r="L34" i="1"/>
  <c r="L33" i="1"/>
  <c r="L73" i="1"/>
  <c r="L74" i="1"/>
  <c r="L78" i="1"/>
  <c r="E79" i="1"/>
  <c r="J79" i="1" s="1"/>
  <c r="L79" i="1" s="1"/>
  <c r="E77" i="1"/>
  <c r="J77" i="1" s="1"/>
  <c r="L77" i="1" s="1"/>
  <c r="E76" i="1"/>
  <c r="J76" i="1" s="1"/>
  <c r="L76" i="1" s="1"/>
  <c r="E75" i="1"/>
  <c r="J75" i="1" s="1"/>
  <c r="L75" i="1" s="1"/>
  <c r="E72" i="1"/>
  <c r="J72" i="1" s="1"/>
  <c r="L72" i="1" s="1"/>
  <c r="E71" i="1"/>
  <c r="J71" i="1" s="1"/>
  <c r="L71" i="1" s="1"/>
  <c r="E67" i="1"/>
  <c r="J67" i="1" s="1"/>
  <c r="L67" i="1" s="1"/>
  <c r="E60" i="1"/>
  <c r="J60" i="1" s="1"/>
  <c r="L60" i="1" s="1"/>
  <c r="E59" i="1"/>
  <c r="J59" i="1" s="1"/>
  <c r="L59" i="1" s="1"/>
  <c r="E51" i="1"/>
  <c r="J51" i="1" s="1"/>
  <c r="L51" i="1" s="1"/>
  <c r="E49" i="1"/>
  <c r="J49" i="1" s="1"/>
  <c r="L49" i="1" s="1"/>
  <c r="E48" i="1"/>
  <c r="J48" i="1" s="1"/>
  <c r="L48" i="1" s="1"/>
  <c r="E47" i="1"/>
  <c r="J47" i="1" s="1"/>
  <c r="L47" i="1" s="1"/>
  <c r="E44" i="1"/>
  <c r="J44" i="1" s="1"/>
  <c r="L44" i="1" s="1"/>
  <c r="E43" i="1"/>
  <c r="J43" i="1" s="1"/>
  <c r="L43" i="1" s="1"/>
  <c r="E39" i="1"/>
  <c r="J39" i="1" s="1"/>
  <c r="L39" i="1" s="1"/>
  <c r="E32" i="1"/>
  <c r="J32" i="1" s="1"/>
  <c r="L32" i="1" s="1"/>
  <c r="E31" i="1"/>
  <c r="J31" i="1" s="1"/>
  <c r="L31" i="1" s="1"/>
  <c r="E23" i="1"/>
  <c r="J23" i="1" s="1"/>
  <c r="L23" i="1" s="1"/>
  <c r="E22" i="1"/>
  <c r="J22" i="1" s="1"/>
  <c r="L22" i="1" s="1"/>
  <c r="E21" i="1"/>
  <c r="J21" i="1" s="1"/>
  <c r="L21" i="1" s="1"/>
  <c r="E18" i="1"/>
  <c r="J18" i="1" s="1"/>
  <c r="L18" i="1" s="1"/>
  <c r="E17" i="1"/>
  <c r="J17" i="1" s="1"/>
  <c r="L17" i="1" s="1"/>
  <c r="E8" i="1"/>
  <c r="J8" i="1" s="1"/>
  <c r="L8" i="1" s="1"/>
  <c r="E7" i="1"/>
  <c r="J7" i="1" s="1"/>
  <c r="L7" i="1" s="1"/>
  <c r="L13" i="1"/>
  <c r="L12" i="1"/>
  <c r="L11" i="1"/>
  <c r="L10" i="1"/>
  <c r="L9" i="1"/>
  <c r="F28" i="10" l="1"/>
  <c r="G14" i="28" s="1"/>
  <c r="H14" i="28" s="1"/>
  <c r="F36" i="24"/>
  <c r="H36" i="24" s="1"/>
  <c r="E26" i="10" s="1"/>
  <c r="F26" i="10" s="1"/>
  <c r="G12" i="28" s="1"/>
  <c r="H12" i="28" s="1"/>
  <c r="F34" i="24"/>
  <c r="H34" i="24" s="1"/>
  <c r="E25" i="10" s="1"/>
  <c r="F25" i="10" s="1"/>
  <c r="G11" i="28" s="1"/>
  <c r="H11" i="28" s="1"/>
  <c r="F32" i="24"/>
  <c r="H32" i="24" s="1"/>
  <c r="E23" i="10" s="1"/>
  <c r="F23" i="10" s="1"/>
  <c r="G10" i="28" s="1"/>
  <c r="H10" i="28" s="1"/>
  <c r="F28" i="24"/>
  <c r="H28" i="24" s="1"/>
  <c r="E21" i="10" s="1"/>
  <c r="F21" i="10" s="1"/>
  <c r="G19" i="28" s="1"/>
  <c r="H19" i="28" s="1"/>
  <c r="F27" i="24"/>
  <c r="H27" i="24" s="1"/>
  <c r="F30" i="24"/>
  <c r="H30" i="24" s="1"/>
  <c r="L14" i="4"/>
  <c r="L12" i="4"/>
  <c r="L60" i="4"/>
  <c r="H12" i="11" s="1"/>
  <c r="D14" i="24" s="1"/>
  <c r="L102" i="4"/>
  <c r="H15" i="11" s="1"/>
  <c r="D17" i="24" s="1"/>
  <c r="L74" i="4"/>
  <c r="H13" i="11" s="1"/>
  <c r="D15" i="24" s="1"/>
  <c r="L88" i="4"/>
  <c r="H14" i="11" s="1"/>
  <c r="D16" i="24" s="1"/>
  <c r="L46" i="4"/>
  <c r="H11" i="11" s="1"/>
  <c r="D13" i="24" s="1"/>
  <c r="L13" i="5"/>
  <c r="L32" i="4"/>
  <c r="H10" i="11" s="1"/>
  <c r="D12" i="24" s="1"/>
  <c r="L168" i="4"/>
  <c r="L158" i="4" s="1"/>
  <c r="H19" i="11" s="1"/>
  <c r="D21" i="24" s="1"/>
  <c r="L18" i="4"/>
  <c r="H9" i="11" s="1"/>
  <c r="D11" i="24" s="1"/>
  <c r="L12" i="5"/>
  <c r="L14" i="5" s="1"/>
  <c r="L15" i="5" s="1"/>
  <c r="L180" i="4"/>
  <c r="L172" i="4" s="1"/>
  <c r="H20" i="11" s="1"/>
  <c r="D22" i="24" s="1"/>
  <c r="L124" i="4"/>
  <c r="L116" i="4" s="1"/>
  <c r="H16" i="11" s="1"/>
  <c r="D18" i="24" s="1"/>
  <c r="L33" i="6"/>
  <c r="H27" i="11" s="1"/>
  <c r="D29" i="24" s="1"/>
  <c r="L144" i="4"/>
  <c r="H18" i="11" s="1"/>
  <c r="D20" i="24" s="1"/>
  <c r="L130" i="4"/>
  <c r="H17" i="11" s="1"/>
  <c r="D19" i="24" s="1"/>
  <c r="L61" i="5"/>
  <c r="L44" i="5"/>
  <c r="L43" i="5"/>
  <c r="L31" i="5"/>
  <c r="L38" i="1"/>
  <c r="L14" i="1"/>
  <c r="L66" i="1"/>
  <c r="L80" i="1"/>
  <c r="L52" i="1"/>
  <c r="L24" i="1"/>
  <c r="H24" i="28" l="1"/>
  <c r="F29" i="24"/>
  <c r="H29" i="24" s="1"/>
  <c r="F18" i="24"/>
  <c r="H18" i="24" s="1"/>
  <c r="F21" i="24"/>
  <c r="H21" i="24" s="1"/>
  <c r="F16" i="24"/>
  <c r="H16" i="24" s="1"/>
  <c r="F20" i="24"/>
  <c r="H20" i="24" s="1"/>
  <c r="F19" i="24"/>
  <c r="H19" i="24" s="1"/>
  <c r="F22" i="24"/>
  <c r="H22" i="24" s="1"/>
  <c r="F12" i="24"/>
  <c r="H12" i="24" s="1"/>
  <c r="F15" i="24"/>
  <c r="H15" i="24" s="1"/>
  <c r="F17" i="24"/>
  <c r="H17" i="24" s="1"/>
  <c r="F11" i="24"/>
  <c r="H11" i="24" s="1"/>
  <c r="F13" i="24"/>
  <c r="H13" i="24" s="1"/>
  <c r="F14" i="24"/>
  <c r="H14" i="24" s="1"/>
  <c r="L4" i="4"/>
  <c r="H8" i="11" s="1"/>
  <c r="D10" i="24" s="1"/>
  <c r="L4" i="5"/>
  <c r="H21" i="11" s="1"/>
  <c r="D23" i="24" s="1"/>
  <c r="L45" i="5"/>
  <c r="L35" i="5" s="1"/>
  <c r="H22" i="11" s="1"/>
  <c r="D24" i="24" s="1"/>
  <c r="L28" i="1"/>
  <c r="H5" i="11" s="1"/>
  <c r="D7" i="24" s="1"/>
  <c r="L56" i="1"/>
  <c r="H6" i="11" s="1"/>
  <c r="D8" i="24" s="1"/>
  <c r="L4" i="1"/>
  <c r="H4" i="11" l="1"/>
  <c r="D6" i="24" s="1"/>
  <c r="F6" i="24" s="1"/>
  <c r="H6" i="24" s="1"/>
  <c r="F23" i="24"/>
  <c r="H23" i="24" s="1"/>
  <c r="F24" i="24"/>
  <c r="H24" i="24" s="1"/>
  <c r="F7" i="24"/>
  <c r="H7" i="24" s="1"/>
  <c r="F8" i="24"/>
  <c r="H8" i="24" s="1"/>
  <c r="F10" i="24"/>
  <c r="H10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 JC. Cadenas</author>
  </authors>
  <commentList>
    <comment ref="B25" authorId="0" shapeId="0" xr:uid="{00000000-0006-0000-0000-000001000000}">
      <text>
        <r>
          <rPr>
            <b/>
            <i/>
            <sz val="9"/>
            <color indexed="81"/>
            <rFont val="Calibri"/>
            <family val="2"/>
            <scheme val="minor"/>
          </rPr>
          <t>Requiere geomembrana si suelo es GW, GP, SW,SP, o cualquier otro que no cuente con suficiente material fino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 JC. Cadenas</author>
  </authors>
  <commentList>
    <comment ref="C11" authorId="0" shapeId="0" xr:uid="{00000000-0006-0000-0100-000001000000}">
      <text>
        <r>
          <rPr>
            <b/>
            <i/>
            <sz val="9"/>
            <color indexed="81"/>
            <rFont val="Calibri"/>
            <family val="2"/>
            <scheme val="minor"/>
          </rPr>
          <t>Requiere geomembrana si suelo es GW, GP, SW,SP, o cualquier otro que no cuente con suficiente material fino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<sst xmlns="http://schemas.openxmlformats.org/spreadsheetml/2006/main" count="3569" uniqueCount="361">
  <si>
    <t>ITEM</t>
  </si>
  <si>
    <t>DESIGNACIÓN</t>
  </si>
  <si>
    <t>Cant</t>
  </si>
  <si>
    <t>Rend</t>
  </si>
  <si>
    <t>Unidad</t>
  </si>
  <si>
    <t>UNIDAD</t>
  </si>
  <si>
    <t>CANTIDAD</t>
  </si>
  <si>
    <t>P.U.</t>
  </si>
  <si>
    <t>TOTAL</t>
  </si>
  <si>
    <t>EMPLANTILLADO (4 SACOS/m3) :</t>
  </si>
  <si>
    <t>m3</t>
  </si>
  <si>
    <t xml:space="preserve">FABRICACION  IN SITU Y COLOCACION </t>
  </si>
  <si>
    <t>CONFECCION :</t>
  </si>
  <si>
    <t>ESTANQUE 9000 lts</t>
  </si>
  <si>
    <t>/</t>
  </si>
  <si>
    <t>dia</t>
  </si>
  <si>
    <t>TROMPO CONCRETERO 150lt BEN.</t>
  </si>
  <si>
    <t>COMBUSTIBLE Y ACEITE</t>
  </si>
  <si>
    <t>lt</t>
  </si>
  <si>
    <t>RIPIO CON FLETE</t>
  </si>
  <si>
    <t>ARENA GRUESA CON FLETE</t>
  </si>
  <si>
    <t xml:space="preserve">CEMENTO MELON ESPECIAL SACO </t>
  </si>
  <si>
    <t>sac</t>
  </si>
  <si>
    <t>FLETE  DEL CEMENTO ( 16O SACOS POR VIAJE)</t>
  </si>
  <si>
    <t>vje</t>
  </si>
  <si>
    <t>PERDIDAS</t>
  </si>
  <si>
    <t>%</t>
  </si>
  <si>
    <t>-</t>
  </si>
  <si>
    <t>MANO DE OBRA:</t>
  </si>
  <si>
    <t>Cuadrilla = 1 M 1ª + 2 A</t>
  </si>
  <si>
    <t>MAESTRO CONCRETERO ( EN FABRICACION)</t>
  </si>
  <si>
    <t>AYUDANTE DE MAESTRO (EN FABRICACION)</t>
  </si>
  <si>
    <t>COLOCACIÓN :</t>
  </si>
  <si>
    <t>Cuadrilla = 4 A</t>
  </si>
  <si>
    <t>JORNALERO ( EN ACARREO Y COLOCACION)</t>
  </si>
  <si>
    <t>Ho-dia</t>
  </si>
  <si>
    <t>JORNALERO ( EN CURADO)</t>
  </si>
  <si>
    <t>CAPATAZ</t>
  </si>
  <si>
    <t xml:space="preserve">% LEYES SOCIALES </t>
  </si>
  <si>
    <t xml:space="preserve">HORMIGONADO  H20 CONTROLADO </t>
  </si>
  <si>
    <t>(FABRICACION IN SITU Y COLOCACION):</t>
  </si>
  <si>
    <t>PERDIDAS :</t>
  </si>
  <si>
    <t>VIBRADOR DE INMERSION - 25,35,45mm</t>
  </si>
  <si>
    <t>SIKACURE 116 (MEMBRANA DE CURADO)</t>
  </si>
  <si>
    <t>kg</t>
  </si>
  <si>
    <t>Cuadrilla = 1 M 1ª + 4 A</t>
  </si>
  <si>
    <t>MAESTRO ( EN COLOCACION)</t>
  </si>
  <si>
    <t>JORNALERO</t>
  </si>
  <si>
    <t>( EN VIBRADO, CURADO Y REVISION MOLDAJES)</t>
  </si>
  <si>
    <t>% LEYES SOCIALES</t>
  </si>
  <si>
    <t>HORMIGONADO H25 CONTROLADO</t>
  </si>
  <si>
    <t>( FABRICACION EN SITU Y COLOCACION )</t>
  </si>
  <si>
    <t>CEMENTO MELON ESPECIAL SACO</t>
  </si>
  <si>
    <t>JORNALERO (EN ACARREO Y COLOCACION)</t>
  </si>
  <si>
    <t>MAESTRO (EN FABRICACIÓN)</t>
  </si>
  <si>
    <t>CAPATAZ (CONTROLA 50% TIEMPO)</t>
  </si>
  <si>
    <t>CAPATAZ (CONTROLA 50% DEL TIEMPO)</t>
  </si>
  <si>
    <t>VALOR SODIMAC</t>
  </si>
  <si>
    <t>SODIMAC</t>
  </si>
  <si>
    <t>RIPIO CON FLETE (30 km)</t>
  </si>
  <si>
    <t>ARENA GRUESA CON FLETE (30 km)</t>
  </si>
  <si>
    <t>ACERO A - 44 - 28 Ø 8 - Ø 10 mm</t>
  </si>
  <si>
    <t xml:space="preserve"> Suministro y colocación</t>
  </si>
  <si>
    <t>Acero A-44-28 incluye flete</t>
  </si>
  <si>
    <t>ALAMB. BWG #18 x 50</t>
  </si>
  <si>
    <t>Cuadrilla = 1 M 1ª + 1 A</t>
  </si>
  <si>
    <t>MAESTRO ENFIERRADOR DE PRIMERA</t>
  </si>
  <si>
    <t>AYUDANTE DE MAESTRO ENFIERRADOR</t>
  </si>
  <si>
    <t>RECARGO DESG. HERRAMIENTAS</t>
  </si>
  <si>
    <t>CAPATAZ (Controla 3 cuadrillas al dia )</t>
  </si>
  <si>
    <t>ACERO A - 44 - 28 Ø 12 mm</t>
  </si>
  <si>
    <t>ACERO A - 44 - 28 Ø 18 mm</t>
  </si>
  <si>
    <t>ACERO A - 44 - 28 Ø 22 mm</t>
  </si>
  <si>
    <t>unid</t>
  </si>
  <si>
    <t>Acero A-44-28 incluye flete y 10% pérdida</t>
  </si>
  <si>
    <t>ACERO A - 63-42 Ø 8 - Ø 10 mm</t>
  </si>
  <si>
    <t>ACERO A - 63-42 Ø 12 mm</t>
  </si>
  <si>
    <t>ACERO A - 63-42 Ø 18 mm</t>
  </si>
  <si>
    <t>ACERO A - 63-42 Ø 22 mm</t>
  </si>
  <si>
    <t>m2</t>
  </si>
  <si>
    <t xml:space="preserve">MALLA ACMA C-92 (2,6 x 5 m) </t>
  </si>
  <si>
    <t xml:space="preserve">MALLA ACMA C-139 (2,6 x 5 m) </t>
  </si>
  <si>
    <t>MALLA ACMA C-188 (2,6 x 5 m) 28.34 kg</t>
  </si>
  <si>
    <t>MALLA ACMA C-257 (2,6 x 5 m)</t>
  </si>
  <si>
    <t>INCLUYE TABLERAJE SIN ALZAPRIMADO</t>
  </si>
  <si>
    <t xml:space="preserve">PINO BRUTO - L = 3,2 m </t>
  </si>
  <si>
    <t>plg</t>
  </si>
  <si>
    <t>Cuadrilla = 1 M 1ª + 2 A 4 usos</t>
  </si>
  <si>
    <t xml:space="preserve">CARPINTERO DE PRIMERA </t>
  </si>
  <si>
    <t>AYUDANTES DE CARPINTERO</t>
  </si>
  <si>
    <t>Subtotal 1: Confección</t>
  </si>
  <si>
    <t>Valor por Uso</t>
  </si>
  <si>
    <t>LIMPIEZA:</t>
  </si>
  <si>
    <t xml:space="preserve">JORNALERO </t>
  </si>
  <si>
    <t>COLOCACION DE 1 m2 DE MOLDAJE</t>
  </si>
  <si>
    <t>ALAMB. BWG #14 x 50</t>
  </si>
  <si>
    <t>CLAVO CORRIENTE 2"</t>
  </si>
  <si>
    <t>SEPARADOR RUEDA 16 B/100</t>
  </si>
  <si>
    <t>uni</t>
  </si>
  <si>
    <t>DESCIMBRE DE 1 m2 DE MOLDAJE</t>
  </si>
  <si>
    <t>ADIDESMOLD MADERA (TAM.180)</t>
  </si>
  <si>
    <t>Subtotal 1: Colocación</t>
  </si>
  <si>
    <t>EXCAVACION CON MAQUINA</t>
  </si>
  <si>
    <t xml:space="preserve">(Terreno semi-duro ) </t>
  </si>
  <si>
    <t>RETROEXCAVADORA 4X4</t>
  </si>
  <si>
    <t>hr</t>
  </si>
  <si>
    <t xml:space="preserve">JORNALERO (Despejes, trazados y combustible) </t>
  </si>
  <si>
    <t>CAPATAZ ( Controla el 50% del dia )</t>
  </si>
  <si>
    <t>Cuadrilla =1,5 A</t>
  </si>
  <si>
    <t>JORNALEROS (Tiempo diario de trabajo = 8,5 hr )</t>
  </si>
  <si>
    <t>RECARGO DESGASTE DE HERRAMIENTAS</t>
  </si>
  <si>
    <t>COMPACTACION:</t>
  </si>
  <si>
    <t>PLACA COMPACTADORA 80 KG. (50 x 50cm)</t>
  </si>
  <si>
    <t>ESTANQUE</t>
  </si>
  <si>
    <t>COMBUSTIBLE (Rendimiento = 2,5 lt/hr)</t>
  </si>
  <si>
    <t xml:space="preserve">JORNALERO  ( Operador de la máquina ) </t>
  </si>
  <si>
    <t>CAPATAZ ( Controla 1/3 del dia )</t>
  </si>
  <si>
    <t>MEJORAMIENTO BASE CON GRAVILLA 3/4</t>
  </si>
  <si>
    <t>GRAVILLA 3/4 CON FLETE</t>
  </si>
  <si>
    <t>sodimac</t>
  </si>
  <si>
    <t>MOLDAJE TABLERO (3 USOS) MUROS</t>
  </si>
  <si>
    <t>CONFECCION DE 1 m2 DE MOLDAJE 3 usos :</t>
  </si>
  <si>
    <t>PLACA 12  mm (3 USOS)</t>
  </si>
  <si>
    <t>% DESGASTE DE HERRAMIENTAS</t>
  </si>
  <si>
    <t>MOLDAJE TABLERO (1 USO) MUROS</t>
  </si>
  <si>
    <t xml:space="preserve">CONFECCION DE 1 m2 </t>
  </si>
  <si>
    <t>LISTO OK</t>
  </si>
  <si>
    <t xml:space="preserve">MALLA ACMA C-257 (2,6 x 5 m) </t>
  </si>
  <si>
    <t>MALLA ACMA C-196 (2,6 x 5 m)</t>
  </si>
  <si>
    <t xml:space="preserve">MALLA ACMA C-196 (2,6 x 5 m) </t>
  </si>
  <si>
    <t>(Tiempo diario de trabajo 8 hr)</t>
  </si>
  <si>
    <t>( Terreno semi-blando)</t>
  </si>
  <si>
    <t>JORNALERO (Tiempo diario de trabajo = 8,5 hr )</t>
  </si>
  <si>
    <t>CAPATAZ ( Controla a 12 Jornales al dia )</t>
  </si>
  <si>
    <t>( Terreno semi-duro)</t>
  </si>
  <si>
    <t>EXCAVACION A MANO (terreno Semi-Duro)</t>
  </si>
  <si>
    <t>EXCAVACION A MANO (terreno semi-blando)</t>
  </si>
  <si>
    <t>(Incluye combustible)</t>
  </si>
  <si>
    <t>JORNALERO  ( Operador de la máquina )</t>
  </si>
  <si>
    <t>RELLENO ESTRUCTURAL  MANUAL  POR CAPAS</t>
  </si>
  <si>
    <t>BULLDOZER D-4E(incluye operador y combustible)</t>
  </si>
  <si>
    <t>( Tiempo diario de trabajo = 8,5 hr )</t>
  </si>
  <si>
    <t>JORNALERO ( Petroleo y demarcación )</t>
  </si>
  <si>
    <t>CAPATAZ ( Controla el 50% del día)</t>
  </si>
  <si>
    <t>y combustible) ( Tiempo de trabajo diario = 8,5 hr )</t>
  </si>
  <si>
    <t>JORNALERO(Petroleo,demarcación y sobretamaño)</t>
  </si>
  <si>
    <t>(Tiempo diario de trabajo = 8,5 hr)</t>
  </si>
  <si>
    <t>CAPATAZ ( Controla el 75% del dia )</t>
  </si>
  <si>
    <t>JORNALERO (Tiempo diario de trabajo =8,5 hr )</t>
  </si>
  <si>
    <t>( Petroleo, demarcación y sobretamaño)</t>
  </si>
  <si>
    <t>CAMION TOLVA 7 m3 ( Incluye operador</t>
  </si>
  <si>
    <t>y combustible) (Tiempo de trabajo diario = 8,5 hr )</t>
  </si>
  <si>
    <t>JORNALERO ( Retiro de sobretamaño y petroleo )</t>
  </si>
  <si>
    <t>(Tiempo diario de trabajo =4,25 hr )</t>
  </si>
  <si>
    <t>ROD. BOMAG 7000 kg (DIN.15000 kg)</t>
  </si>
  <si>
    <t>(Incluye operador y combustible)</t>
  </si>
  <si>
    <t>( Tiempo de trabajo diario = 8,5 hr ), 10 PASADAS</t>
  </si>
  <si>
    <t>POR CAPAS Y 70 M3/ hr DE COMPACTACION</t>
  </si>
  <si>
    <t>CAMION AGUA MACK ALJIBE 10000 lt</t>
  </si>
  <si>
    <t>(5 LLENADOS) (Incluye operador y combustible)</t>
  </si>
  <si>
    <t>MANO DE OBRA :</t>
  </si>
  <si>
    <t>Cuadrilla = 7 A</t>
  </si>
  <si>
    <t>(Colocacion de capas de material, combustible etc.)</t>
  </si>
  <si>
    <t xml:space="preserve">ESCARPE  CON MAQUINA </t>
  </si>
  <si>
    <t>COLOCACION Y DISTRIBUCION  DE MATERIAL CON BULLDOZER (para terraplenes menores)</t>
  </si>
  <si>
    <t>COLOCACION DE MATERIAL PARA TERRAPLENES CON CAMION TOLVA</t>
  </si>
  <si>
    <t>COMPACTACION RODILLADA DE TERRAPLENES POR CAPAS CONTROLADAS</t>
  </si>
  <si>
    <t>SELECCION MATERIAL Y ACOPIO PARA DE TERRAPLENES:</t>
  </si>
  <si>
    <t>CAPATAZ ( Controla el 30% del dia )</t>
  </si>
  <si>
    <t>día</t>
  </si>
  <si>
    <t>TRANSPORTE A BOTADERO (5 km)</t>
  </si>
  <si>
    <t>JORNALERO ( petroleo )</t>
  </si>
  <si>
    <t>MANEJO DE BOTADERO</t>
  </si>
  <si>
    <t>COLOCACION  Y DISTRIBUCIÓN DE MATERIAL PARA TERRAPLENES CON BULLDOZER</t>
  </si>
  <si>
    <t>BULLDOZER D-4E (incluye operador y combustible)</t>
  </si>
  <si>
    <t>(TIEMPO DIARIO DE TRABAJO 8,5 HRS)</t>
  </si>
  <si>
    <t>JORNALERO (Petróleo, Demarcación y sobretamaño )</t>
  </si>
  <si>
    <t>Mano de Obra</t>
  </si>
  <si>
    <t>Capataz</t>
  </si>
  <si>
    <t>Maestro Primera</t>
  </si>
  <si>
    <t>Maestro Segunda</t>
  </si>
  <si>
    <t>Ayudante</t>
  </si>
  <si>
    <t>Jornal</t>
  </si>
  <si>
    <t>Equipos y Maquinaria</t>
  </si>
  <si>
    <t>Materiales</t>
  </si>
  <si>
    <t>ÍTEM</t>
  </si>
  <si>
    <t>Máx</t>
  </si>
  <si>
    <t>Mín</t>
  </si>
  <si>
    <t>Precio Mínimo</t>
  </si>
  <si>
    <t>Precio Máximo</t>
  </si>
  <si>
    <t>min</t>
  </si>
  <si>
    <t>MAX</t>
  </si>
  <si>
    <t>Rendimiento</t>
  </si>
  <si>
    <t>Mínimo</t>
  </si>
  <si>
    <t>m3/día</t>
  </si>
  <si>
    <t>kg/día</t>
  </si>
  <si>
    <t>m2/día</t>
  </si>
  <si>
    <t>m3/hr</t>
  </si>
  <si>
    <t>MÁXIMO</t>
  </si>
  <si>
    <t>MOLDAJE TABLERO (3 USOS) MUROS (inc. Colocación y descimbre)</t>
  </si>
  <si>
    <t>MOLDAJE TABLERO (1 USO) MUROS (inc. Colocación y descimbre)</t>
  </si>
  <si>
    <t>HORMIGONADO H30 CONTROLADO</t>
  </si>
  <si>
    <t>JUNTA DE DILATACIÓN PVC-022</t>
  </si>
  <si>
    <t>m</t>
  </si>
  <si>
    <t>CINTA PVC 0-22 CL</t>
  </si>
  <si>
    <t>JORNAL</t>
  </si>
  <si>
    <t>MAESTRO DE PRIMERA</t>
  </si>
  <si>
    <t>PÉRDIDAS</t>
  </si>
  <si>
    <t>PRECIO</t>
  </si>
  <si>
    <t>Precio</t>
  </si>
  <si>
    <t>UF</t>
  </si>
  <si>
    <t>rm</t>
  </si>
  <si>
    <t>factor</t>
  </si>
  <si>
    <t>actual</t>
  </si>
  <si>
    <t>Altura (msnm)</t>
  </si>
  <si>
    <t xml:space="preserve">RIPIO </t>
  </si>
  <si>
    <t>ARENA</t>
  </si>
  <si>
    <t>UF (a la apertura)</t>
  </si>
  <si>
    <t>Precio Transporte (m3/km)</t>
  </si>
  <si>
    <t>Acceso</t>
  </si>
  <si>
    <t>Plano</t>
  </si>
  <si>
    <t>Ladera Media</t>
  </si>
  <si>
    <t>Difícil Acceso</t>
  </si>
  <si>
    <t>plano</t>
  </si>
  <si>
    <t>ladera media</t>
  </si>
  <si>
    <t>dificial acceso</t>
  </si>
  <si>
    <t>ANEXO ANÁLISIS DE PRECIOS UNITARIOS</t>
  </si>
  <si>
    <t>RELLENO COMÚN (COMPACTACIÓN SIMPLE)</t>
  </si>
  <si>
    <t>ANÁLISIS DE PRECIOS UNITARIOS ZONAS CENTRO NORTE Y CENTRO SUR*</t>
  </si>
  <si>
    <t>COLOCACION DE MATERIAL PARA TERRAPLENES CON CAMION TOLVA (material excavado en poza)</t>
  </si>
  <si>
    <t>*Considera desde la Región de Coquimbo Hasta la Región de la Araucanía ** Sólo obras de arte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</si>
  <si>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</si>
  <si>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</si>
  <si>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Tipo de Embalse</t>
  </si>
  <si>
    <t>Excavación y Muro</t>
  </si>
  <si>
    <t>Volumen</t>
  </si>
  <si>
    <t>Altura</t>
  </si>
  <si>
    <t>Largo</t>
  </si>
  <si>
    <t>100% Excavado</t>
  </si>
  <si>
    <t xml:space="preserve">Talud </t>
  </si>
  <si>
    <t>V:H:1:1,5</t>
  </si>
  <si>
    <t>Ancho Coronamiento</t>
  </si>
  <si>
    <t>100% Muro</t>
  </si>
  <si>
    <t>Revancha</t>
  </si>
  <si>
    <t>N.A.M.</t>
  </si>
  <si>
    <t>Área Base necesaria</t>
  </si>
  <si>
    <t>Área</t>
  </si>
  <si>
    <t>X</t>
  </si>
  <si>
    <t>sup</t>
  </si>
  <si>
    <t>volumen</t>
  </si>
  <si>
    <t>Área al tope del Muro</t>
  </si>
  <si>
    <t>Perímetro al eje</t>
  </si>
  <si>
    <t>Movimiento de Tierras</t>
  </si>
  <si>
    <t>Excavación</t>
  </si>
  <si>
    <t>Relleno</t>
  </si>
  <si>
    <t>Volumen diseño</t>
  </si>
  <si>
    <t>Xcota máxima</t>
  </si>
  <si>
    <t>Y</t>
  </si>
  <si>
    <t>X (largo) diseño</t>
  </si>
  <si>
    <t>Y (ancho) diseño</t>
  </si>
  <si>
    <t>Base</t>
  </si>
  <si>
    <t>Coronamiento</t>
  </si>
  <si>
    <t>Área Muro</t>
  </si>
  <si>
    <t>Profundidad de ex</t>
  </si>
  <si>
    <t>Volumen exc</t>
  </si>
  <si>
    <t>Volumen relleno</t>
  </si>
  <si>
    <t>Geomembrana</t>
  </si>
  <si>
    <t>Longitud</t>
  </si>
  <si>
    <t>perimetro eje</t>
  </si>
  <si>
    <t>Perímetro base</t>
  </si>
  <si>
    <t>Promedio</t>
  </si>
  <si>
    <t>Área Geomembrana</t>
  </si>
  <si>
    <t>Zanja de anclaje</t>
  </si>
  <si>
    <t>Instalación de Geomembrana</t>
  </si>
  <si>
    <t>Cantidad</t>
  </si>
  <si>
    <t>m³</t>
  </si>
  <si>
    <t>Tte Botadero</t>
  </si>
  <si>
    <t>MATERIAL DE EMPRÉSTITO</t>
  </si>
  <si>
    <t>m²</t>
  </si>
  <si>
    <t>Total</t>
  </si>
  <si>
    <t>INSTALACIÓN DE GEOMEMBRANA</t>
  </si>
  <si>
    <t>Empréstito</t>
  </si>
  <si>
    <t>Maquinaria en Terreno</t>
  </si>
  <si>
    <t>Resultados por Cálculo</t>
  </si>
  <si>
    <t>Si</t>
  </si>
  <si>
    <t>No</t>
  </si>
  <si>
    <t>Revestido Geomembrana</t>
  </si>
  <si>
    <t>DISEÑO DE PEQUEÑOS EMBALSES</t>
  </si>
  <si>
    <t>Datos de entrada fijos</t>
  </si>
  <si>
    <t>Dimensiones diseño (ingrese largo y ancho)</t>
  </si>
  <si>
    <t>Resultados por Diseño</t>
  </si>
  <si>
    <t>Seleccione Volumen y Altura/Profundidad</t>
  </si>
  <si>
    <t>MOVIMIENTO DE TIERRAS</t>
  </si>
  <si>
    <t>IMPERMEABILIZACIÓN CON GEOMEMBRANA</t>
  </si>
  <si>
    <t>COSTO DIRECTO</t>
  </si>
  <si>
    <t>PRESUPUESTO DETALLADO DE LAS OBRAS</t>
  </si>
  <si>
    <t>Excavación con Máquina</t>
  </si>
  <si>
    <t>Selección de Material y acopio para terraplenes</t>
  </si>
  <si>
    <t>Colocaciónde Material y acopio para terraplenes con camión tolva (material excavado en poza)</t>
  </si>
  <si>
    <t>Compactación rodillada de terraplenes por capas controladas</t>
  </si>
  <si>
    <t>Trasnporte a Botadero (5 km)</t>
  </si>
  <si>
    <t>Manejo de Botadero</t>
  </si>
  <si>
    <t>Material de Empréstito</t>
  </si>
  <si>
    <t>Excavación a Mano (terreno semi-duro) (zanja de Anclaje)</t>
  </si>
  <si>
    <t>Relleno Común (Compactación simple)</t>
  </si>
  <si>
    <t>IMPERMEABILIZACIÓN</t>
  </si>
  <si>
    <t>TIPO DE EMBALSE</t>
  </si>
  <si>
    <t>CUBICACIONES</t>
  </si>
  <si>
    <t xml:space="preserve">Altura </t>
  </si>
  <si>
    <t>Nivel de Aguas Máximas</t>
  </si>
  <si>
    <t>Largo (seleccione)</t>
  </si>
  <si>
    <t xml:space="preserve">Ancho </t>
  </si>
  <si>
    <t>Área Nivel de aguas máxima</t>
  </si>
  <si>
    <t>*No considerar este valor si es 100% Muro ó 100% Excavado</t>
  </si>
  <si>
    <t>Manejo de Excedentes</t>
  </si>
  <si>
    <t>MANEJO DE EXCEDENTES</t>
  </si>
  <si>
    <t>Área Base Real</t>
  </si>
  <si>
    <t>Altura de Muro</t>
  </si>
  <si>
    <t>CIERRE PERIMETRAL</t>
  </si>
  <si>
    <t>Cerco perimetral</t>
  </si>
  <si>
    <t>Caudal de diseño (l/s)</t>
  </si>
  <si>
    <t>Tiempo turno (hrs)</t>
  </si>
  <si>
    <t>Volumen disponible</t>
  </si>
  <si>
    <t>Cubicación cerco</t>
  </si>
  <si>
    <t>Largo interior al tope</t>
  </si>
  <si>
    <t>ancho iunterior al tope</t>
  </si>
  <si>
    <t>Más sobreanco</t>
  </si>
  <si>
    <t>Largo Cerco Perimetral</t>
  </si>
  <si>
    <t>Ancho Cerco Perimetral</t>
  </si>
  <si>
    <t>perímetro</t>
  </si>
  <si>
    <t>Hidrología (ingrese valores)</t>
  </si>
  <si>
    <t>*Deben ser cercanos a valores por cálculo</t>
  </si>
  <si>
    <t>Celda</t>
  </si>
  <si>
    <t>Color</t>
  </si>
  <si>
    <t>Acción</t>
  </si>
  <si>
    <t>Datos de entrada</t>
  </si>
  <si>
    <t>Lista Desplegable</t>
  </si>
  <si>
    <t>Celda Cálculo</t>
  </si>
  <si>
    <t>Valores fijos</t>
  </si>
  <si>
    <t>Valores por defecto, no se modifican, se despliega la lista y se escoge el más adecuado</t>
  </si>
  <si>
    <t>Calcula resultados según datos ingresados, no se modifica</t>
  </si>
  <si>
    <t>Valores que no se modifican, Calculados previamente, cumplen normativa. Datos de entrada</t>
  </si>
  <si>
    <t>CÓDIGO DE COLORES</t>
  </si>
  <si>
    <t>Se indica que la presente Planilla es aplicable sólo para embalses se sección rectangular o Cuadrada, emplazada en terrenos planos</t>
  </si>
  <si>
    <t>Paso 2, Seleccione el tipo de embalse, de acuerdo a la siguiente figura</t>
  </si>
  <si>
    <t>Paso 3, Indique si considera o no Geomembrana</t>
  </si>
  <si>
    <t>Paso 4, Indique Profundidad de excavación (sólo aplica a embalses tipo Excavación y Muro)</t>
  </si>
  <si>
    <t>Paso 5, seleccione Volumen de diseño (debe ser cercano a Volumen disponible)</t>
  </si>
  <si>
    <t>Paso 1, Ingresar caudal de diseño en l/s y tiempo de turno en horas</t>
  </si>
  <si>
    <r>
      <t>Paso 6, Seleccione la altura desde terreno Natural hasta cota de coronamiento (</t>
    </r>
    <r>
      <rPr>
        <b/>
        <sz val="11"/>
        <color rgb="FFFF0000"/>
        <rFont val="Calibri"/>
        <family val="2"/>
        <scheme val="minor"/>
      </rPr>
      <t>H,</t>
    </r>
    <r>
      <rPr>
        <sz val="11"/>
        <color theme="1"/>
        <rFont val="Calibri"/>
        <family val="2"/>
        <scheme val="minor"/>
      </rPr>
      <t xml:space="preserve"> según figura)</t>
    </r>
  </si>
  <si>
    <t>Paso 7, seleccione el Largo de la base interno de fondo</t>
  </si>
  <si>
    <t>Paso 8, Ajustar largo y ancho según resultados por cálculo</t>
  </si>
  <si>
    <t>Paso 9, Resultados, parámetros de diseño</t>
  </si>
  <si>
    <t>Largo base</t>
  </si>
  <si>
    <t>Ancho base</t>
  </si>
  <si>
    <t>Largo al tope del muro</t>
  </si>
  <si>
    <t>Ancho al tope del Muro</t>
  </si>
  <si>
    <t>Largo Base</t>
  </si>
  <si>
    <t>Ancho Base</t>
  </si>
  <si>
    <t>MODO DE USO PLANILLA DE DISEÑO PEQUEÑOS EMBALSES</t>
  </si>
  <si>
    <t>Debe Ingresar Valor, corresponde a datos de diseño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</si>
</sst>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000"/>
    <numFmt numFmtId="165" formatCode="0.000"/>
    <numFmt numFmtId="166" formatCode="0.0"/>
    <numFmt numFmtId="167" formatCode="[$$-340A]\ #,##0"/>
    <numFmt numFmtId="168" formatCode="[$$-340A]\ #,##0.00"/>
    <numFmt numFmtId="169" formatCode="&quot;$&quot;\ #,##0"/>
    <numFmt numFmtId="170" formatCode="#0\ &quot;m&quot;"/>
    <numFmt numFmtId="171" formatCode="#,##0.0\ &quot;m&quot;"/>
    <numFmt numFmtId="172" formatCode="#0\ &quot;m³&quot;"/>
    <numFmt numFmtId="173" formatCode="#0\ &quot;m²&quot;"/>
    <numFmt numFmtId="174" formatCode="#0.0\ &quot;m³&quot;"/>
    <numFmt numFmtId="175" formatCode="#0.0\ &quot;m&quot;"/>
    <numFmt numFmtId="176" formatCode="#,##0.0\ &quot;l/s&quot;"/>
    <numFmt numFmtId="177" formatCode="#,##0.0\ &quot;hrs&quot;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Times New Roman"/>
      <family val="1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9"/>
      <color indexed="8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2" fillId="0" borderId="0"/>
  </cellStyleXfs>
  <cellXfs count="682">
    <xf numFmtId="0" fontId="0" fillId="0" borderId="0" xfId="0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left"/>
    </xf>
    <xf numFmtId="0" fontId="2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3" fontId="3" fillId="0" borderId="10" xfId="1" applyNumberFormat="1" applyFont="1" applyBorder="1" applyAlignment="1">
      <alignment horizontal="right"/>
    </xf>
    <xf numFmtId="0" fontId="3" fillId="0" borderId="1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12" xfId="1" applyNumberFormat="1" applyFont="1" applyBorder="1" applyAlignment="1">
      <alignment horizontal="right"/>
    </xf>
    <xf numFmtId="0" fontId="4" fillId="0" borderId="1" xfId="1" applyFont="1" applyBorder="1" applyAlignment="1">
      <alignment horizontal="left"/>
    </xf>
    <xf numFmtId="0" fontId="2" fillId="0" borderId="1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166" fontId="2" fillId="0" borderId="1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left"/>
    </xf>
    <xf numFmtId="0" fontId="2" fillId="0" borderId="14" xfId="1" applyFont="1" applyBorder="1" applyAlignment="1">
      <alignment horizontal="center"/>
    </xf>
    <xf numFmtId="1" fontId="2" fillId="0" borderId="14" xfId="1" applyNumberFormat="1" applyFont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3" fontId="2" fillId="0" borderId="15" xfId="1" applyNumberFormat="1" applyFont="1" applyBorder="1" applyAlignment="1">
      <alignment horizontal="right"/>
    </xf>
    <xf numFmtId="3" fontId="2" fillId="2" borderId="1" xfId="1" applyNumberFormat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7" xfId="1" applyFont="1" applyBorder="1" applyAlignment="1">
      <alignment horizontal="right"/>
    </xf>
    <xf numFmtId="0" fontId="3" fillId="2" borderId="8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left"/>
    </xf>
    <xf numFmtId="0" fontId="2" fillId="2" borderId="9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3" fontId="2" fillId="2" borderId="9" xfId="1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right"/>
    </xf>
    <xf numFmtId="0" fontId="3" fillId="2" borderId="1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3" fontId="3" fillId="2" borderId="12" xfId="1" applyNumberFormat="1" applyFont="1" applyFill="1" applyBorder="1" applyAlignment="1">
      <alignment horizontal="right"/>
    </xf>
    <xf numFmtId="0" fontId="2" fillId="2" borderId="1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2" fontId="2" fillId="2" borderId="1" xfId="1" applyNumberFormat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left"/>
    </xf>
    <xf numFmtId="1" fontId="2" fillId="2" borderId="1" xfId="1" applyNumberFormat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left"/>
    </xf>
    <xf numFmtId="0" fontId="2" fillId="2" borderId="14" xfId="1" applyFont="1" applyFill="1" applyBorder="1" applyAlignment="1">
      <alignment horizontal="center"/>
    </xf>
    <xf numFmtId="1" fontId="2" fillId="2" borderId="14" xfId="1" applyNumberFormat="1" applyFont="1" applyFill="1" applyBorder="1" applyAlignment="1">
      <alignment horizontal="center"/>
    </xf>
    <xf numFmtId="3" fontId="2" fillId="2" borderId="14" xfId="1" applyNumberFormat="1" applyFont="1" applyFill="1" applyBorder="1" applyAlignment="1">
      <alignment horizontal="center"/>
    </xf>
    <xf numFmtId="3" fontId="2" fillId="2" borderId="15" xfId="1" applyNumberFormat="1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1" fontId="2" fillId="4" borderId="1" xfId="1" applyNumberFormat="1" applyFont="1" applyFill="1" applyBorder="1" applyAlignment="1">
      <alignment horizontal="center"/>
    </xf>
    <xf numFmtId="3" fontId="2" fillId="4" borderId="12" xfId="1" applyNumberFormat="1" applyFont="1" applyFill="1" applyBorder="1" applyAlignment="1">
      <alignment horizontal="right"/>
    </xf>
    <xf numFmtId="0" fontId="7" fillId="0" borderId="0" xfId="2"/>
    <xf numFmtId="0" fontId="2" fillId="2" borderId="14" xfId="2" applyFont="1" applyFill="1" applyBorder="1" applyAlignment="1">
      <alignment horizontal="center"/>
    </xf>
    <xf numFmtId="3" fontId="2" fillId="2" borderId="14" xfId="2" applyNumberFormat="1" applyFont="1" applyFill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left"/>
    </xf>
    <xf numFmtId="0" fontId="3" fillId="2" borderId="14" xfId="2" applyFont="1" applyFill="1" applyBorder="1" applyAlignment="1">
      <alignment horizontal="center"/>
    </xf>
    <xf numFmtId="3" fontId="3" fillId="2" borderId="15" xfId="2" applyNumberFormat="1" applyFont="1" applyFill="1" applyBorder="1" applyAlignment="1">
      <alignment horizontal="right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left"/>
    </xf>
    <xf numFmtId="0" fontId="6" fillId="0" borderId="9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3" fontId="6" fillId="0" borderId="9" xfId="2" applyNumberFormat="1" applyFont="1" applyBorder="1" applyAlignment="1">
      <alignment horizontal="center"/>
    </xf>
    <xf numFmtId="3" fontId="5" fillId="0" borderId="10" xfId="2" applyNumberFormat="1" applyFont="1" applyBorder="1" applyAlignment="1">
      <alignment horizontal="right"/>
    </xf>
    <xf numFmtId="0" fontId="6" fillId="0" borderId="11" xfId="2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3" fontId="6" fillId="0" borderId="1" xfId="2" applyNumberFormat="1" applyFont="1" applyBorder="1" applyAlignment="1">
      <alignment horizontal="center"/>
    </xf>
    <xf numFmtId="3" fontId="6" fillId="0" borderId="12" xfId="2" applyNumberFormat="1" applyFont="1" applyBorder="1" applyAlignment="1">
      <alignment horizontal="right"/>
    </xf>
    <xf numFmtId="0" fontId="5" fillId="0" borderId="1" xfId="2" applyFont="1" applyBorder="1" applyAlignment="1">
      <alignment horizontal="left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left"/>
    </xf>
    <xf numFmtId="0" fontId="6" fillId="0" borderId="14" xfId="2" applyFont="1" applyBorder="1" applyAlignment="1">
      <alignment horizontal="center"/>
    </xf>
    <xf numFmtId="3" fontId="6" fillId="0" borderId="14" xfId="2" applyNumberFormat="1" applyFont="1" applyBorder="1" applyAlignment="1">
      <alignment horizontal="center"/>
    </xf>
    <xf numFmtId="3" fontId="6" fillId="0" borderId="15" xfId="2" applyNumberFormat="1" applyFont="1" applyBorder="1" applyAlignment="1">
      <alignment horizontal="right"/>
    </xf>
    <xf numFmtId="165" fontId="6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3" fontId="6" fillId="0" borderId="0" xfId="2" applyNumberFormat="1" applyFont="1" applyAlignment="1">
      <alignment horizontal="center"/>
    </xf>
    <xf numFmtId="3" fontId="6" fillId="0" borderId="0" xfId="2" applyNumberFormat="1" applyFont="1" applyAlignment="1">
      <alignment horizontal="right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3" fillId="0" borderId="7" xfId="2" applyFont="1" applyBorder="1" applyAlignment="1">
      <alignment horizontal="center"/>
    </xf>
    <xf numFmtId="3" fontId="2" fillId="2" borderId="1" xfId="2" applyNumberFormat="1" applyFont="1" applyFill="1" applyBorder="1" applyAlignment="1">
      <alignment horizontal="center"/>
    </xf>
    <xf numFmtId="3" fontId="3" fillId="2" borderId="10" xfId="2" applyNumberFormat="1" applyFont="1" applyFill="1" applyBorder="1" applyAlignment="1">
      <alignment horizontal="right"/>
    </xf>
    <xf numFmtId="0" fontId="3" fillId="2" borderId="1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3" fontId="3" fillId="2" borderId="12" xfId="2" applyNumberFormat="1" applyFont="1" applyFill="1" applyBorder="1" applyAlignment="1">
      <alignment horizontal="right"/>
    </xf>
    <xf numFmtId="0" fontId="2" fillId="2" borderId="11" xfId="2" applyFont="1" applyFill="1" applyBorder="1" applyAlignment="1">
      <alignment horizontal="center"/>
    </xf>
    <xf numFmtId="3" fontId="2" fillId="2" borderId="12" xfId="2" applyNumberFormat="1" applyFont="1" applyFill="1" applyBorder="1" applyAlignment="1">
      <alignment horizontal="right"/>
    </xf>
    <xf numFmtId="0" fontId="2" fillId="2" borderId="1" xfId="2" applyFont="1" applyFill="1" applyBorder="1" applyAlignment="1">
      <alignment horizontal="left"/>
    </xf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left"/>
    </xf>
    <xf numFmtId="3" fontId="2" fillId="2" borderId="15" xfId="2" applyNumberFormat="1" applyFont="1" applyFill="1" applyBorder="1" applyAlignment="1">
      <alignment horizontal="right"/>
    </xf>
    <xf numFmtId="165" fontId="2" fillId="2" borderId="1" xfId="2" applyNumberFormat="1" applyFont="1" applyFill="1" applyBorder="1" applyAlignment="1">
      <alignment horizontal="center"/>
    </xf>
    <xf numFmtId="0" fontId="4" fillId="2" borderId="19" xfId="2" applyFont="1" applyFill="1" applyBorder="1"/>
    <xf numFmtId="0" fontId="4" fillId="2" borderId="20" xfId="2" applyFont="1" applyFill="1" applyBorder="1"/>
    <xf numFmtId="0" fontId="4" fillId="2" borderId="21" xfId="2" applyFont="1" applyFill="1" applyBorder="1"/>
    <xf numFmtId="0" fontId="4" fillId="2" borderId="22" xfId="2" applyFont="1" applyFill="1" applyBorder="1"/>
    <xf numFmtId="0" fontId="4" fillId="2" borderId="23" xfId="2" applyFont="1" applyFill="1" applyBorder="1"/>
    <xf numFmtId="0" fontId="4" fillId="2" borderId="24" xfId="2" applyFont="1" applyFill="1" applyBorder="1"/>
    <xf numFmtId="3" fontId="3" fillId="2" borderId="25" xfId="2" applyNumberFormat="1" applyFont="1" applyFill="1" applyBorder="1" applyAlignment="1">
      <alignment horizontal="right"/>
    </xf>
    <xf numFmtId="0" fontId="2" fillId="2" borderId="16" xfId="2" applyFont="1" applyFill="1" applyBorder="1" applyAlignment="1">
      <alignment horizontal="center"/>
    </xf>
    <xf numFmtId="0" fontId="2" fillId="2" borderId="17" xfId="2" applyFont="1" applyFill="1" applyBorder="1" applyAlignment="1">
      <alignment horizontal="center"/>
    </xf>
    <xf numFmtId="3" fontId="2" fillId="2" borderId="17" xfId="2" applyNumberFormat="1" applyFont="1" applyFill="1" applyBorder="1" applyAlignment="1">
      <alignment horizontal="center"/>
    </xf>
    <xf numFmtId="3" fontId="2" fillId="2" borderId="18" xfId="2" applyNumberFormat="1" applyFont="1" applyFill="1" applyBorder="1" applyAlignment="1">
      <alignment horizontal="right"/>
    </xf>
    <xf numFmtId="0" fontId="2" fillId="2" borderId="38" xfId="2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3" fontId="2" fillId="0" borderId="1" xfId="2" applyNumberFormat="1" applyFont="1" applyBorder="1" applyAlignment="1">
      <alignment horizontal="center"/>
    </xf>
    <xf numFmtId="3" fontId="2" fillId="0" borderId="12" xfId="2" applyNumberFormat="1" applyFont="1" applyBorder="1" applyAlignment="1">
      <alignment horizontal="right"/>
    </xf>
    <xf numFmtId="0" fontId="2" fillId="0" borderId="11" xfId="2" applyFont="1" applyBorder="1" applyAlignment="1">
      <alignment horizontal="center"/>
    </xf>
    <xf numFmtId="0" fontId="2" fillId="0" borderId="0" xfId="2" applyFont="1" applyAlignment="1">
      <alignment horizontal="right"/>
    </xf>
    <xf numFmtId="0" fontId="3" fillId="2" borderId="8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left"/>
    </xf>
    <xf numFmtId="0" fontId="2" fillId="2" borderId="9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3" fontId="2" fillId="2" borderId="9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3" fontId="3" fillId="2" borderId="15" xfId="2" applyNumberFormat="1" applyFont="1" applyFill="1" applyBorder="1" applyAlignment="1">
      <alignment horizontal="center"/>
    </xf>
    <xf numFmtId="0" fontId="3" fillId="0" borderId="18" xfId="2" applyFont="1" applyBorder="1" applyAlignment="1">
      <alignment horizontal="right"/>
    </xf>
    <xf numFmtId="0" fontId="2" fillId="2" borderId="27" xfId="2" applyFont="1" applyFill="1" applyBorder="1" applyAlignment="1">
      <alignment horizontal="center"/>
    </xf>
    <xf numFmtId="3" fontId="2" fillId="2" borderId="10" xfId="2" applyNumberFormat="1" applyFont="1" applyFill="1" applyBorder="1" applyAlignment="1">
      <alignment horizontal="right"/>
    </xf>
    <xf numFmtId="0" fontId="2" fillId="2" borderId="28" xfId="2" applyFont="1" applyFill="1" applyBorder="1" applyAlignment="1">
      <alignment horizontal="center"/>
    </xf>
    <xf numFmtId="0" fontId="3" fillId="0" borderId="30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2" borderId="34" xfId="2" applyFont="1" applyFill="1" applyBorder="1" applyAlignment="1">
      <alignment horizontal="left"/>
    </xf>
    <xf numFmtId="0" fontId="3" fillId="2" borderId="24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0" fontId="3" fillId="2" borderId="35" xfId="2" applyFont="1" applyFill="1" applyBorder="1" applyAlignment="1">
      <alignment horizontal="left"/>
    </xf>
    <xf numFmtId="0" fontId="2" fillId="2" borderId="36" xfId="2" applyFont="1" applyFill="1" applyBorder="1" applyAlignment="1">
      <alignment horizontal="left"/>
    </xf>
    <xf numFmtId="0" fontId="2" fillId="0" borderId="36" xfId="2" applyFont="1" applyBorder="1" applyAlignment="1">
      <alignment horizontal="left"/>
    </xf>
    <xf numFmtId="0" fontId="2" fillId="0" borderId="28" xfId="2" applyFont="1" applyBorder="1" applyAlignment="1">
      <alignment horizontal="center"/>
    </xf>
    <xf numFmtId="0" fontId="2" fillId="2" borderId="34" xfId="2" applyFont="1" applyFill="1" applyBorder="1" applyAlignment="1">
      <alignment horizontal="left"/>
    </xf>
    <xf numFmtId="0" fontId="2" fillId="2" borderId="24" xfId="2" applyFont="1" applyFill="1" applyBorder="1" applyAlignment="1">
      <alignment horizontal="center"/>
    </xf>
    <xf numFmtId="0" fontId="2" fillId="2" borderId="37" xfId="2" applyFont="1" applyFill="1" applyBorder="1" applyAlignment="1">
      <alignment horizontal="left"/>
    </xf>
    <xf numFmtId="0" fontId="2" fillId="2" borderId="37" xfId="2" applyFont="1" applyFill="1" applyBorder="1" applyAlignment="1">
      <alignment horizontal="center"/>
    </xf>
    <xf numFmtId="3" fontId="2" fillId="2" borderId="37" xfId="2" applyNumberFormat="1" applyFont="1" applyFill="1" applyBorder="1" applyAlignment="1">
      <alignment horizontal="center"/>
    </xf>
    <xf numFmtId="3" fontId="2" fillId="2" borderId="25" xfId="2" applyNumberFormat="1" applyFont="1" applyFill="1" applyBorder="1" applyAlignment="1">
      <alignment horizontal="right"/>
    </xf>
    <xf numFmtId="0" fontId="4" fillId="2" borderId="17" xfId="2" applyFont="1" applyFill="1" applyBorder="1" applyAlignment="1">
      <alignment horizontal="left"/>
    </xf>
    <xf numFmtId="3" fontId="2" fillId="4" borderId="1" xfId="2" applyNumberFormat="1" applyFont="1" applyFill="1" applyBorder="1" applyAlignment="1">
      <alignment horizontal="center"/>
    </xf>
    <xf numFmtId="0" fontId="0" fillId="6" borderId="0" xfId="0" applyFill="1"/>
    <xf numFmtId="3" fontId="6" fillId="4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3" fontId="6" fillId="0" borderId="35" xfId="2" applyNumberFormat="1" applyFont="1" applyBorder="1" applyAlignment="1">
      <alignment horizontal="center"/>
    </xf>
    <xf numFmtId="3" fontId="6" fillId="0" borderId="36" xfId="2" applyNumberFormat="1" applyFont="1" applyBorder="1" applyAlignment="1">
      <alignment horizontal="center"/>
    </xf>
    <xf numFmtId="3" fontId="6" fillId="4" borderId="36" xfId="2" applyNumberFormat="1" applyFont="1" applyFill="1" applyBorder="1" applyAlignment="1">
      <alignment horizontal="center"/>
    </xf>
    <xf numFmtId="3" fontId="6" fillId="0" borderId="34" xfId="2" applyNumberFormat="1" applyFont="1" applyBorder="1" applyAlignment="1">
      <alignment horizontal="center"/>
    </xf>
    <xf numFmtId="3" fontId="5" fillId="0" borderId="39" xfId="2" applyNumberFormat="1" applyFont="1" applyBorder="1" applyAlignment="1">
      <alignment horizontal="right"/>
    </xf>
    <xf numFmtId="0" fontId="0" fillId="0" borderId="40" xfId="0" applyBorder="1"/>
    <xf numFmtId="3" fontId="6" fillId="0" borderId="26" xfId="2" applyNumberFormat="1" applyFont="1" applyBorder="1" applyAlignment="1">
      <alignment horizontal="right"/>
    </xf>
    <xf numFmtId="3" fontId="6" fillId="0" borderId="29" xfId="2" applyNumberFormat="1" applyFont="1" applyBorder="1" applyAlignment="1">
      <alignment horizontal="right"/>
    </xf>
    <xf numFmtId="1" fontId="6" fillId="0" borderId="1" xfId="2" applyNumberFormat="1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6" fillId="0" borderId="44" xfId="2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3" fontId="6" fillId="0" borderId="44" xfId="2" applyNumberFormat="1" applyFont="1" applyBorder="1" applyAlignment="1">
      <alignment horizontal="center"/>
    </xf>
    <xf numFmtId="3" fontId="6" fillId="0" borderId="44" xfId="2" applyNumberFormat="1" applyFont="1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6" fillId="7" borderId="9" xfId="2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3" fontId="2" fillId="2" borderId="0" xfId="2" applyNumberFormat="1" applyFont="1" applyFill="1" applyAlignment="1">
      <alignment horizontal="center"/>
    </xf>
    <xf numFmtId="3" fontId="2" fillId="2" borderId="0" xfId="2" applyNumberFormat="1" applyFont="1" applyFill="1" applyAlignment="1">
      <alignment horizontal="right"/>
    </xf>
    <xf numFmtId="0" fontId="9" fillId="0" borderId="16" xfId="0" applyFont="1" applyBorder="1" applyAlignment="1">
      <alignment horizontal="center"/>
    </xf>
    <xf numFmtId="0" fontId="3" fillId="2" borderId="38" xfId="2" applyFont="1" applyFill="1" applyBorder="1" applyAlignment="1">
      <alignment horizontal="center"/>
    </xf>
    <xf numFmtId="0" fontId="3" fillId="2" borderId="37" xfId="2" applyFont="1" applyFill="1" applyBorder="1" applyAlignment="1">
      <alignment horizontal="left"/>
    </xf>
    <xf numFmtId="0" fontId="4" fillId="3" borderId="48" xfId="2" applyFont="1" applyFill="1" applyBorder="1" applyAlignment="1">
      <alignment horizontal="center"/>
    </xf>
    <xf numFmtId="0" fontId="4" fillId="3" borderId="49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left"/>
    </xf>
    <xf numFmtId="0" fontId="3" fillId="2" borderId="37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0" xfId="2" applyFont="1" applyFill="1" applyAlignment="1">
      <alignment horizontal="left"/>
    </xf>
    <xf numFmtId="0" fontId="7" fillId="0" borderId="0" xfId="0" applyFont="1" applyAlignment="1">
      <alignment horizontal="center"/>
    </xf>
    <xf numFmtId="164" fontId="2" fillId="2" borderId="0" xfId="2" applyNumberFormat="1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2" borderId="49" xfId="2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2" borderId="50" xfId="2" applyFont="1" applyFill="1" applyBorder="1"/>
    <xf numFmtId="0" fontId="3" fillId="2" borderId="48" xfId="2" applyFont="1" applyFill="1" applyBorder="1" applyAlignment="1">
      <alignment horizontal="center"/>
    </xf>
    <xf numFmtId="3" fontId="3" fillId="2" borderId="51" xfId="2" applyNumberFormat="1" applyFont="1" applyFill="1" applyBorder="1" applyAlignment="1">
      <alignment horizontal="center"/>
    </xf>
    <xf numFmtId="164" fontId="2" fillId="2" borderId="17" xfId="2" applyNumberFormat="1" applyFont="1" applyFill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7" fillId="0" borderId="14" xfId="2" applyBorder="1"/>
    <xf numFmtId="0" fontId="2" fillId="2" borderId="17" xfId="2" applyFont="1" applyFill="1" applyBorder="1"/>
    <xf numFmtId="0" fontId="2" fillId="2" borderId="1" xfId="2" applyFont="1" applyFill="1" applyBorder="1"/>
    <xf numFmtId="0" fontId="3" fillId="0" borderId="1" xfId="2" applyFont="1" applyBorder="1"/>
    <xf numFmtId="0" fontId="3" fillId="2" borderId="1" xfId="2" applyFont="1" applyFill="1" applyBorder="1"/>
    <xf numFmtId="0" fontId="3" fillId="2" borderId="14" xfId="2" applyFont="1" applyFill="1" applyBorder="1"/>
    <xf numFmtId="1" fontId="2" fillId="2" borderId="1" xfId="2" applyNumberFormat="1" applyFont="1" applyFill="1" applyBorder="1" applyAlignment="1">
      <alignment horizontal="center"/>
    </xf>
    <xf numFmtId="1" fontId="2" fillId="2" borderId="14" xfId="2" applyNumberFormat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48" xfId="2" applyFont="1" applyBorder="1" applyAlignment="1">
      <alignment horizontal="center"/>
    </xf>
    <xf numFmtId="0" fontId="3" fillId="0" borderId="49" xfId="2" applyFont="1" applyBorder="1" applyAlignment="1">
      <alignment horizontal="center"/>
    </xf>
    <xf numFmtId="0" fontId="2" fillId="0" borderId="49" xfId="2" applyFont="1" applyBorder="1" applyAlignment="1">
      <alignment horizontal="center"/>
    </xf>
    <xf numFmtId="0" fontId="2" fillId="0" borderId="51" xfId="2" applyFont="1" applyBorder="1" applyAlignment="1">
      <alignment horizontal="center"/>
    </xf>
    <xf numFmtId="3" fontId="11" fillId="2" borderId="1" xfId="2" applyNumberFormat="1" applyFont="1" applyFill="1" applyBorder="1" applyAlignment="1">
      <alignment horizontal="center"/>
    </xf>
    <xf numFmtId="3" fontId="2" fillId="2" borderId="18" xfId="2" applyNumberFormat="1" applyFont="1" applyFill="1" applyBorder="1" applyAlignment="1">
      <alignment horizontal="center"/>
    </xf>
    <xf numFmtId="3" fontId="2" fillId="2" borderId="12" xfId="2" applyNumberFormat="1" applyFont="1" applyFill="1" applyBorder="1" applyAlignment="1">
      <alignment horizontal="center"/>
    </xf>
    <xf numFmtId="3" fontId="2" fillId="2" borderId="15" xfId="2" applyNumberFormat="1" applyFont="1" applyFill="1" applyBorder="1" applyAlignment="1">
      <alignment horizontal="center"/>
    </xf>
    <xf numFmtId="0" fontId="2" fillId="8" borderId="8" xfId="2" applyFont="1" applyFill="1" applyBorder="1" applyAlignment="1">
      <alignment horizontal="center"/>
    </xf>
    <xf numFmtId="0" fontId="2" fillId="8" borderId="9" xfId="2" applyFont="1" applyFill="1" applyBorder="1" applyAlignment="1">
      <alignment horizontal="center"/>
    </xf>
    <xf numFmtId="0" fontId="2" fillId="8" borderId="10" xfId="2" applyFont="1" applyFill="1" applyBorder="1" applyAlignment="1">
      <alignment horizontal="center"/>
    </xf>
    <xf numFmtId="0" fontId="2" fillId="8" borderId="11" xfId="2" applyFont="1" applyFill="1" applyBorder="1" applyAlignment="1">
      <alignment horizontal="center"/>
    </xf>
    <xf numFmtId="164" fontId="2" fillId="8" borderId="1" xfId="2" applyNumberFormat="1" applyFont="1" applyFill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2" fillId="8" borderId="12" xfId="2" applyFont="1" applyFill="1" applyBorder="1" applyAlignment="1">
      <alignment horizontal="center"/>
    </xf>
    <xf numFmtId="0" fontId="2" fillId="8" borderId="13" xfId="2" applyFont="1" applyFill="1" applyBorder="1" applyAlignment="1">
      <alignment horizontal="center"/>
    </xf>
    <xf numFmtId="0" fontId="2" fillId="8" borderId="14" xfId="2" applyFont="1" applyFill="1" applyBorder="1" applyAlignment="1">
      <alignment horizontal="center"/>
    </xf>
    <xf numFmtId="0" fontId="2" fillId="8" borderId="15" xfId="2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3" fillId="2" borderId="52" xfId="2" applyFont="1" applyFill="1" applyBorder="1" applyAlignment="1">
      <alignment horizontal="left"/>
    </xf>
    <xf numFmtId="0" fontId="3" fillId="2" borderId="53" xfId="2" applyFont="1" applyFill="1" applyBorder="1" applyAlignment="1">
      <alignment horizontal="center"/>
    </xf>
    <xf numFmtId="0" fontId="8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3" fontId="3" fillId="2" borderId="1" xfId="2" applyNumberFormat="1" applyFont="1" applyFill="1" applyBorder="1" applyAlignment="1">
      <alignment horizontal="center"/>
    </xf>
    <xf numFmtId="0" fontId="2" fillId="8" borderId="28" xfId="2" applyFont="1" applyFill="1" applyBorder="1" applyAlignment="1">
      <alignment horizontal="center"/>
    </xf>
    <xf numFmtId="0" fontId="3" fillId="2" borderId="36" xfId="2" applyFont="1" applyFill="1" applyBorder="1" applyAlignment="1">
      <alignment horizontal="left"/>
    </xf>
    <xf numFmtId="0" fontId="2" fillId="4" borderId="11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14" fillId="0" borderId="1" xfId="0" applyFont="1" applyBorder="1"/>
    <xf numFmtId="0" fontId="10" fillId="0" borderId="34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4" fillId="0" borderId="14" xfId="0" applyFont="1" applyBorder="1"/>
    <xf numFmtId="1" fontId="2" fillId="8" borderId="1" xfId="2" applyNumberFormat="1" applyFont="1" applyFill="1" applyBorder="1" applyAlignment="1">
      <alignment horizontal="center"/>
    </xf>
    <xf numFmtId="0" fontId="2" fillId="8" borderId="24" xfId="2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3" fontId="3" fillId="2" borderId="0" xfId="2" applyNumberFormat="1" applyFont="1" applyFill="1" applyAlignment="1">
      <alignment horizontal="center"/>
    </xf>
    <xf numFmtId="0" fontId="3" fillId="0" borderId="50" xfId="2" applyFont="1" applyBorder="1" applyAlignment="1">
      <alignment horizontal="center"/>
    </xf>
    <xf numFmtId="0" fontId="3" fillId="0" borderId="56" xfId="2" applyFont="1" applyBorder="1" applyAlignment="1">
      <alignment horizontal="center"/>
    </xf>
    <xf numFmtId="0" fontId="3" fillId="0" borderId="51" xfId="2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2" fillId="8" borderId="0" xfId="2" applyFont="1" applyFill="1" applyAlignment="1">
      <alignment horizontal="center"/>
    </xf>
    <xf numFmtId="0" fontId="3" fillId="8" borderId="48" xfId="2" applyFont="1" applyFill="1" applyBorder="1" applyAlignment="1">
      <alignment horizontal="center"/>
    </xf>
    <xf numFmtId="0" fontId="3" fillId="8" borderId="50" xfId="2" applyFont="1" applyFill="1" applyBorder="1" applyAlignment="1">
      <alignment horizontal="center"/>
    </xf>
    <xf numFmtId="0" fontId="3" fillId="8" borderId="56" xfId="2" applyFont="1" applyFill="1" applyBorder="1" applyAlignment="1">
      <alignment horizontal="center"/>
    </xf>
    <xf numFmtId="0" fontId="3" fillId="8" borderId="49" xfId="2" applyFont="1" applyFill="1" applyBorder="1" applyAlignment="1">
      <alignment horizontal="center"/>
    </xf>
    <xf numFmtId="0" fontId="3" fillId="8" borderId="51" xfId="2" applyFont="1" applyFill="1" applyBorder="1" applyAlignment="1">
      <alignment horizontal="right"/>
    </xf>
    <xf numFmtId="0" fontId="0" fillId="8" borderId="0" xfId="0" applyFill="1"/>
    <xf numFmtId="0" fontId="3" fillId="8" borderId="36" xfId="2" applyFont="1" applyFill="1" applyBorder="1" applyAlignment="1">
      <alignment horizontal="left"/>
    </xf>
    <xf numFmtId="0" fontId="4" fillId="8" borderId="11" xfId="2" applyFont="1" applyFill="1" applyBorder="1" applyAlignment="1">
      <alignment horizontal="center"/>
    </xf>
    <xf numFmtId="0" fontId="4" fillId="8" borderId="1" xfId="2" applyFont="1" applyFill="1" applyBorder="1" applyAlignment="1">
      <alignment horizontal="center"/>
    </xf>
    <xf numFmtId="0" fontId="14" fillId="8" borderId="1" xfId="0" applyFont="1" applyFill="1" applyBorder="1"/>
    <xf numFmtId="3" fontId="3" fillId="8" borderId="1" xfId="2" applyNumberFormat="1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2" fillId="8" borderId="36" xfId="2" applyFont="1" applyFill="1" applyBorder="1" applyAlignment="1">
      <alignment horizontal="left"/>
    </xf>
    <xf numFmtId="0" fontId="7" fillId="8" borderId="1" xfId="0" applyFont="1" applyFill="1" applyBorder="1" applyAlignment="1">
      <alignment horizontal="center"/>
    </xf>
    <xf numFmtId="3" fontId="11" fillId="8" borderId="1" xfId="2" applyNumberFormat="1" applyFont="1" applyFill="1" applyBorder="1" applyAlignment="1">
      <alignment horizontal="center"/>
    </xf>
    <xf numFmtId="3" fontId="2" fillId="8" borderId="1" xfId="2" applyNumberFormat="1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2" fillId="8" borderId="34" xfId="2" applyFont="1" applyFill="1" applyBorder="1" applyAlignment="1">
      <alignment horizontal="left"/>
    </xf>
    <xf numFmtId="0" fontId="7" fillId="8" borderId="14" xfId="0" applyFont="1" applyFill="1" applyBorder="1" applyAlignment="1">
      <alignment horizontal="center"/>
    </xf>
    <xf numFmtId="3" fontId="2" fillId="8" borderId="1" xfId="1" applyNumberFormat="1" applyFont="1" applyFill="1" applyBorder="1" applyAlignment="1">
      <alignment horizontal="center"/>
    </xf>
    <xf numFmtId="3" fontId="2" fillId="8" borderId="37" xfId="2" applyNumberFormat="1" applyFont="1" applyFill="1" applyBorder="1" applyAlignment="1">
      <alignment horizontal="center"/>
    </xf>
    <xf numFmtId="0" fontId="0" fillId="0" borderId="59" xfId="0" applyBorder="1"/>
    <xf numFmtId="0" fontId="0" fillId="0" borderId="22" xfId="0" applyBorder="1"/>
    <xf numFmtId="0" fontId="0" fillId="0" borderId="60" xfId="0" applyBorder="1"/>
    <xf numFmtId="0" fontId="0" fillId="0" borderId="26" xfId="0" applyBorder="1"/>
    <xf numFmtId="0" fontId="0" fillId="0" borderId="29" xfId="0" applyBorder="1"/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1" fontId="8" fillId="0" borderId="0" xfId="0" applyNumberFormat="1" applyFont="1"/>
    <xf numFmtId="0" fontId="0" fillId="0" borderId="57" xfId="0" applyBorder="1"/>
    <xf numFmtId="0" fontId="0" fillId="0" borderId="60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9" xfId="0" applyBorder="1" applyAlignment="1">
      <alignment wrapText="1"/>
    </xf>
    <xf numFmtId="0" fontId="16" fillId="0" borderId="4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20" xfId="0" applyBorder="1"/>
    <xf numFmtId="0" fontId="0" fillId="0" borderId="62" xfId="0" applyBorder="1"/>
    <xf numFmtId="0" fontId="0" fillId="0" borderId="23" xfId="0" applyBorder="1"/>
    <xf numFmtId="0" fontId="0" fillId="0" borderId="61" xfId="0" applyBorder="1"/>
    <xf numFmtId="0" fontId="0" fillId="0" borderId="46" xfId="0" applyBorder="1"/>
    <xf numFmtId="0" fontId="0" fillId="4" borderId="11" xfId="0" applyFill="1" applyBorder="1"/>
    <xf numFmtId="0" fontId="0" fillId="0" borderId="11" xfId="0" applyBorder="1"/>
    <xf numFmtId="0" fontId="0" fillId="0" borderId="13" xfId="0" applyBorder="1"/>
    <xf numFmtId="0" fontId="2" fillId="4" borderId="11" xfId="1" applyFont="1" applyFill="1" applyBorder="1" applyAlignment="1">
      <alignment horizontal="left" vertical="center" indent="1"/>
    </xf>
    <xf numFmtId="0" fontId="2" fillId="4" borderId="11" xfId="3" applyFill="1" applyBorder="1" applyAlignment="1">
      <alignment horizontal="left" indent="1"/>
    </xf>
    <xf numFmtId="0" fontId="2" fillId="4" borderId="13" xfId="3" applyFill="1" applyBorder="1" applyAlignment="1">
      <alignment horizontal="left" indent="1"/>
    </xf>
    <xf numFmtId="0" fontId="17" fillId="0" borderId="4" xfId="1" applyFont="1" applyBorder="1" applyAlignment="1">
      <alignment horizontal="center" vertical="center"/>
    </xf>
    <xf numFmtId="167" fontId="0" fillId="0" borderId="36" xfId="0" applyNumberFormat="1" applyBorder="1"/>
    <xf numFmtId="167" fontId="0" fillId="4" borderId="36" xfId="0" applyNumberFormat="1" applyFill="1" applyBorder="1"/>
    <xf numFmtId="167" fontId="0" fillId="4" borderId="34" xfId="0" applyNumberFormat="1" applyFill="1" applyBorder="1"/>
    <xf numFmtId="0" fontId="17" fillId="0" borderId="58" xfId="1" applyFont="1" applyBorder="1" applyAlignment="1">
      <alignment horizontal="center" vertical="center"/>
    </xf>
    <xf numFmtId="167" fontId="0" fillId="0" borderId="34" xfId="0" applyNumberFormat="1" applyBorder="1"/>
    <xf numFmtId="0" fontId="4" fillId="8" borderId="63" xfId="2" applyFont="1" applyFill="1" applyBorder="1" applyAlignment="1">
      <alignment horizontal="center"/>
    </xf>
    <xf numFmtId="0" fontId="4" fillId="8" borderId="0" xfId="2" applyFont="1" applyFill="1" applyAlignment="1">
      <alignment horizontal="center"/>
    </xf>
    <xf numFmtId="0" fontId="4" fillId="8" borderId="42" xfId="2" applyFont="1" applyFill="1" applyBorder="1" applyAlignment="1">
      <alignment horizontal="center"/>
    </xf>
    <xf numFmtId="2" fontId="2" fillId="6" borderId="1" xfId="1" applyNumberFormat="1" applyFont="1" applyFill="1" applyBorder="1" applyAlignment="1">
      <alignment horizontal="center"/>
    </xf>
    <xf numFmtId="165" fontId="2" fillId="6" borderId="1" xfId="1" applyNumberFormat="1" applyFont="1" applyFill="1" applyBorder="1" applyAlignment="1">
      <alignment horizontal="center"/>
    </xf>
    <xf numFmtId="2" fontId="0" fillId="0" borderId="0" xfId="0" applyNumberFormat="1"/>
    <xf numFmtId="0" fontId="2" fillId="6" borderId="1" xfId="1" applyFont="1" applyFill="1" applyBorder="1" applyAlignment="1">
      <alignment horizontal="left"/>
    </xf>
    <xf numFmtId="167" fontId="0" fillId="4" borderId="63" xfId="0" applyNumberFormat="1" applyFill="1" applyBorder="1"/>
    <xf numFmtId="0" fontId="15" fillId="0" borderId="57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15" fillId="0" borderId="41" xfId="0" applyFont="1" applyBorder="1" applyAlignment="1">
      <alignment horizontal="center"/>
    </xf>
    <xf numFmtId="167" fontId="0" fillId="0" borderId="1" xfId="0" applyNumberFormat="1" applyBorder="1"/>
    <xf numFmtId="0" fontId="16" fillId="0" borderId="6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1" xfId="0" applyBorder="1" applyAlignment="1">
      <alignment wrapText="1"/>
    </xf>
    <xf numFmtId="0" fontId="1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8" xfId="0" applyBorder="1" applyAlignment="1">
      <alignment wrapText="1"/>
    </xf>
    <xf numFmtId="0" fontId="1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4" borderId="1" xfId="1" applyNumberFormat="1" applyFont="1" applyFill="1" applyBorder="1" applyAlignment="1">
      <alignment horizontal="center"/>
    </xf>
    <xf numFmtId="3" fontId="11" fillId="2" borderId="1" xfId="1" applyNumberFormat="1" applyFont="1" applyFill="1" applyBorder="1" applyAlignment="1">
      <alignment horizontal="center"/>
    </xf>
    <xf numFmtId="0" fontId="2" fillId="0" borderId="11" xfId="1" applyFont="1" applyBorder="1" applyAlignment="1">
      <alignment horizontal="left" vertical="center" indent="1"/>
    </xf>
    <xf numFmtId="0" fontId="2" fillId="0" borderId="11" xfId="3" applyBorder="1" applyAlignment="1">
      <alignment horizontal="left" indent="1"/>
    </xf>
    <xf numFmtId="0" fontId="2" fillId="0" borderId="13" xfId="3" applyBorder="1" applyAlignment="1">
      <alignment horizontal="left" indent="1"/>
    </xf>
    <xf numFmtId="0" fontId="14" fillId="0" borderId="11" xfId="0" applyFont="1" applyBorder="1"/>
    <xf numFmtId="167" fontId="14" fillId="0" borderId="36" xfId="0" applyNumberFormat="1" applyFont="1" applyBorder="1"/>
    <xf numFmtId="0" fontId="14" fillId="0" borderId="13" xfId="0" applyFont="1" applyBorder="1"/>
    <xf numFmtId="167" fontId="14" fillId="0" borderId="34" xfId="0" applyNumberFormat="1" applyFont="1" applyBorder="1"/>
    <xf numFmtId="167" fontId="0" fillId="0" borderId="12" xfId="0" applyNumberFormat="1" applyBorder="1"/>
    <xf numFmtId="167" fontId="14" fillId="0" borderId="12" xfId="0" applyNumberFormat="1" applyFont="1" applyBorder="1"/>
    <xf numFmtId="0" fontId="2" fillId="0" borderId="13" xfId="1" applyFont="1" applyBorder="1" applyAlignment="1">
      <alignment horizontal="left"/>
    </xf>
    <xf numFmtId="167" fontId="14" fillId="0" borderId="66" xfId="0" applyNumberFormat="1" applyFont="1" applyBorder="1"/>
    <xf numFmtId="167" fontId="14" fillId="0" borderId="15" xfId="0" applyNumberFormat="1" applyFont="1" applyBorder="1"/>
    <xf numFmtId="167" fontId="15" fillId="0" borderId="59" xfId="0" applyNumberFormat="1" applyFont="1" applyBorder="1" applyAlignment="1">
      <alignment vertical="center"/>
    </xf>
    <xf numFmtId="167" fontId="15" fillId="0" borderId="22" xfId="0" applyNumberFormat="1" applyFont="1" applyBorder="1" applyAlignment="1">
      <alignment vertical="center"/>
    </xf>
    <xf numFmtId="167" fontId="15" fillId="0" borderId="26" xfId="0" applyNumberFormat="1" applyFont="1" applyBorder="1" applyAlignment="1">
      <alignment vertical="center"/>
    </xf>
    <xf numFmtId="167" fontId="15" fillId="0" borderId="29" xfId="0" applyNumberFormat="1" applyFont="1" applyBorder="1" applyAlignment="1">
      <alignment vertical="center"/>
    </xf>
    <xf numFmtId="167" fontId="15" fillId="0" borderId="19" xfId="0" applyNumberFormat="1" applyFont="1" applyBorder="1" applyAlignment="1">
      <alignment vertical="center"/>
    </xf>
    <xf numFmtId="167" fontId="15" fillId="0" borderId="60" xfId="0" applyNumberFormat="1" applyFont="1" applyBorder="1" applyAlignment="1">
      <alignment vertical="center"/>
    </xf>
    <xf numFmtId="167" fontId="15" fillId="0" borderId="41" xfId="0" applyNumberFormat="1" applyFont="1" applyBorder="1" applyAlignment="1">
      <alignment vertical="center"/>
    </xf>
    <xf numFmtId="167" fontId="15" fillId="0" borderId="67" xfId="0" applyNumberFormat="1" applyFont="1" applyBorder="1" applyAlignment="1">
      <alignment vertical="center"/>
    </xf>
    <xf numFmtId="0" fontId="15" fillId="8" borderId="40" xfId="0" applyFont="1" applyFill="1" applyBorder="1"/>
    <xf numFmtId="0" fontId="15" fillId="8" borderId="33" xfId="0" applyFont="1" applyFill="1" applyBorder="1"/>
    <xf numFmtId="0" fontId="16" fillId="8" borderId="40" xfId="0" applyFont="1" applyFill="1" applyBorder="1" applyAlignment="1">
      <alignment horizontal="center" vertical="center"/>
    </xf>
    <xf numFmtId="0" fontId="19" fillId="8" borderId="0" xfId="0" applyFont="1" applyFill="1" applyAlignment="1">
      <alignment wrapText="1"/>
    </xf>
    <xf numFmtId="0" fontId="15" fillId="8" borderId="43" xfId="0" applyFont="1" applyFill="1" applyBorder="1"/>
    <xf numFmtId="168" fontId="15" fillId="8" borderId="65" xfId="0" applyNumberFormat="1" applyFont="1" applyFill="1" applyBorder="1" applyAlignment="1" applyProtection="1">
      <alignment vertical="center"/>
      <protection locked="0"/>
    </xf>
    <xf numFmtId="0" fontId="0" fillId="0" borderId="6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" fontId="0" fillId="0" borderId="0" xfId="0" applyNumberFormat="1"/>
    <xf numFmtId="0" fontId="2" fillId="4" borderId="50" xfId="2" applyFont="1" applyFill="1" applyBorder="1"/>
    <xf numFmtId="0" fontId="0" fillId="8" borderId="59" xfId="0" applyFill="1" applyBorder="1" applyAlignment="1">
      <alignment wrapText="1"/>
    </xf>
    <xf numFmtId="0" fontId="16" fillId="8" borderId="32" xfId="0" applyFont="1" applyFill="1" applyBorder="1" applyAlignment="1">
      <alignment horizontal="center" vertical="center"/>
    </xf>
    <xf numFmtId="0" fontId="20" fillId="8" borderId="0" xfId="0" applyFont="1" applyFill="1"/>
    <xf numFmtId="1" fontId="0" fillId="0" borderId="0" xfId="0" applyNumberFormat="1"/>
    <xf numFmtId="0" fontId="0" fillId="8" borderId="0" xfId="0" applyFill="1" applyAlignment="1">
      <alignment horizontal="center"/>
    </xf>
    <xf numFmtId="0" fontId="15" fillId="8" borderId="0" xfId="0" applyFont="1" applyFill="1" applyAlignment="1">
      <alignment horizontal="center"/>
    </xf>
    <xf numFmtId="165" fontId="0" fillId="8" borderId="0" xfId="0" applyNumberFormat="1" applyFill="1"/>
    <xf numFmtId="0" fontId="24" fillId="8" borderId="0" xfId="0" applyFont="1" applyFill="1" applyProtection="1">
      <protection hidden="1"/>
    </xf>
    <xf numFmtId="0" fontId="22" fillId="8" borderId="0" xfId="0" applyFont="1" applyFill="1"/>
    <xf numFmtId="0" fontId="15" fillId="8" borderId="0" xfId="0" applyFont="1" applyFill="1"/>
    <xf numFmtId="0" fontId="23" fillId="8" borderId="0" xfId="0" applyFont="1" applyFill="1"/>
    <xf numFmtId="1" fontId="15" fillId="8" borderId="0" xfId="0" applyNumberFormat="1" applyFont="1" applyFill="1"/>
    <xf numFmtId="0" fontId="15" fillId="5" borderId="41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174" fontId="0" fillId="5" borderId="42" xfId="0" applyNumberFormat="1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174" fontId="0" fillId="5" borderId="45" xfId="0" applyNumberFormat="1" applyFill="1" applyBorder="1" applyAlignment="1">
      <alignment horizontal="center"/>
    </xf>
    <xf numFmtId="0" fontId="15" fillId="5" borderId="60" xfId="0" applyFont="1" applyFill="1" applyBorder="1" applyAlignment="1">
      <alignment horizontal="center"/>
    </xf>
    <xf numFmtId="0" fontId="15" fillId="5" borderId="29" xfId="0" applyFont="1" applyFill="1" applyBorder="1" applyAlignment="1">
      <alignment horizontal="center"/>
    </xf>
    <xf numFmtId="0" fontId="15" fillId="5" borderId="60" xfId="0" applyFont="1" applyFill="1" applyBorder="1" applyAlignment="1">
      <alignment horizontal="left"/>
    </xf>
    <xf numFmtId="0" fontId="15" fillId="5" borderId="29" xfId="0" applyFont="1" applyFill="1" applyBorder="1" applyAlignment="1">
      <alignment horizontal="left"/>
    </xf>
    <xf numFmtId="171" fontId="15" fillId="11" borderId="18" xfId="0" applyNumberFormat="1" applyFont="1" applyFill="1" applyBorder="1" applyAlignment="1">
      <alignment horizontal="center"/>
    </xf>
    <xf numFmtId="173" fontId="15" fillId="11" borderId="12" xfId="0" applyNumberFormat="1" applyFont="1" applyFill="1" applyBorder="1" applyAlignment="1">
      <alignment horizontal="center"/>
    </xf>
    <xf numFmtId="171" fontId="15" fillId="11" borderId="15" xfId="0" applyNumberFormat="1" applyFont="1" applyFill="1" applyBorder="1" applyAlignment="1">
      <alignment horizontal="center"/>
    </xf>
    <xf numFmtId="0" fontId="15" fillId="5" borderId="16" xfId="0" applyFont="1" applyFill="1" applyBorder="1" applyAlignment="1">
      <alignment horizontal="left"/>
    </xf>
    <xf numFmtId="0" fontId="15" fillId="5" borderId="13" xfId="0" applyFont="1" applyFill="1" applyBorder="1" applyAlignment="1">
      <alignment horizontal="left"/>
    </xf>
    <xf numFmtId="171" fontId="27" fillId="0" borderId="18" xfId="0" applyNumberFormat="1" applyFont="1" applyBorder="1" applyAlignment="1">
      <alignment horizontal="center"/>
    </xf>
    <xf numFmtId="171" fontId="27" fillId="0" borderId="15" xfId="0" applyNumberFormat="1" applyFont="1" applyBorder="1" applyAlignment="1">
      <alignment horizontal="center"/>
    </xf>
    <xf numFmtId="0" fontId="27" fillId="5" borderId="16" xfId="0" applyFont="1" applyFill="1" applyBorder="1" applyAlignment="1">
      <alignment horizontal="left"/>
    </xf>
    <xf numFmtId="0" fontId="27" fillId="5" borderId="18" xfId="0" applyFont="1" applyFill="1" applyBorder="1" applyAlignment="1">
      <alignment horizontal="center"/>
    </xf>
    <xf numFmtId="0" fontId="27" fillId="5" borderId="11" xfId="0" applyFont="1" applyFill="1" applyBorder="1" applyAlignment="1">
      <alignment horizontal="left"/>
    </xf>
    <xf numFmtId="170" fontId="27" fillId="5" borderId="12" xfId="0" applyNumberFormat="1" applyFont="1" applyFill="1" applyBorder="1" applyAlignment="1">
      <alignment horizontal="center"/>
    </xf>
    <xf numFmtId="0" fontId="27" fillId="5" borderId="13" xfId="0" applyFont="1" applyFill="1" applyBorder="1" applyAlignment="1">
      <alignment horizontal="left"/>
    </xf>
    <xf numFmtId="171" fontId="27" fillId="5" borderId="15" xfId="0" applyNumberFormat="1" applyFont="1" applyFill="1" applyBorder="1" applyAlignment="1">
      <alignment horizontal="center"/>
    </xf>
    <xf numFmtId="0" fontId="15" fillId="5" borderId="11" xfId="0" applyFont="1" applyFill="1" applyBorder="1" applyAlignment="1">
      <alignment horizontal="left"/>
    </xf>
    <xf numFmtId="0" fontId="0" fillId="8" borderId="59" xfId="0" applyFill="1" applyBorder="1"/>
    <xf numFmtId="0" fontId="0" fillId="8" borderId="22" xfId="0" applyFill="1" applyBorder="1" applyAlignment="1">
      <alignment wrapText="1"/>
    </xf>
    <xf numFmtId="0" fontId="15" fillId="8" borderId="40" xfId="0" applyFont="1" applyFill="1" applyBorder="1" applyAlignment="1">
      <alignment horizontal="center"/>
    </xf>
    <xf numFmtId="0" fontId="0" fillId="8" borderId="67" xfId="0" applyFill="1" applyBorder="1"/>
    <xf numFmtId="0" fontId="0" fillId="8" borderId="26" xfId="0" applyFill="1" applyBorder="1" applyAlignment="1">
      <alignment horizontal="center"/>
    </xf>
    <xf numFmtId="0" fontId="15" fillId="8" borderId="67" xfId="0" applyFont="1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166" fontId="0" fillId="8" borderId="26" xfId="0" applyNumberFormat="1" applyFill="1" applyBorder="1" applyAlignment="1">
      <alignment horizontal="right"/>
    </xf>
    <xf numFmtId="0" fontId="0" fillId="8" borderId="26" xfId="0" applyFill="1" applyBorder="1" applyAlignment="1">
      <alignment horizontal="right"/>
    </xf>
    <xf numFmtId="2" fontId="0" fillId="8" borderId="26" xfId="0" applyNumberFormat="1" applyFill="1" applyBorder="1" applyAlignment="1">
      <alignment horizontal="right"/>
    </xf>
    <xf numFmtId="0" fontId="0" fillId="8" borderId="29" xfId="0" applyFill="1" applyBorder="1" applyAlignment="1">
      <alignment horizontal="right"/>
    </xf>
    <xf numFmtId="169" fontId="0" fillId="8" borderId="26" xfId="0" applyNumberFormat="1" applyFill="1" applyBorder="1" applyAlignment="1">
      <alignment horizontal="right"/>
    </xf>
    <xf numFmtId="169" fontId="0" fillId="8" borderId="29" xfId="0" applyNumberFormat="1" applyFill="1" applyBorder="1" applyAlignment="1">
      <alignment horizontal="right"/>
    </xf>
    <xf numFmtId="0" fontId="0" fillId="8" borderId="41" xfId="0" applyFill="1" applyBorder="1"/>
    <xf numFmtId="169" fontId="0" fillId="8" borderId="59" xfId="0" applyNumberFormat="1" applyFill="1" applyBorder="1" applyAlignment="1">
      <alignment horizontal="right"/>
    </xf>
    <xf numFmtId="0" fontId="15" fillId="8" borderId="41" xfId="0" applyFont="1" applyFill="1" applyBorder="1" applyAlignment="1">
      <alignment horizontal="center"/>
    </xf>
    <xf numFmtId="169" fontId="0" fillId="8" borderId="22" xfId="0" applyNumberFormat="1" applyFill="1" applyBorder="1" applyAlignment="1">
      <alignment horizontal="right"/>
    </xf>
    <xf numFmtId="0" fontId="30" fillId="8" borderId="5" xfId="0" applyFont="1" applyFill="1" applyBorder="1"/>
    <xf numFmtId="0" fontId="30" fillId="8" borderId="5" xfId="0" applyFont="1" applyFill="1" applyBorder="1" applyAlignment="1">
      <alignment horizontal="right"/>
    </xf>
    <xf numFmtId="169" fontId="16" fillId="8" borderId="58" xfId="0" applyNumberFormat="1" applyFont="1" applyFill="1" applyBorder="1" applyAlignment="1">
      <alignment horizontal="right"/>
    </xf>
    <xf numFmtId="0" fontId="15" fillId="8" borderId="64" xfId="0" applyFont="1" applyFill="1" applyBorder="1" applyAlignment="1">
      <alignment horizontal="center"/>
    </xf>
    <xf numFmtId="0" fontId="15" fillId="8" borderId="58" xfId="0" applyFont="1" applyFill="1" applyBorder="1" applyAlignment="1">
      <alignment horizontal="center"/>
    </xf>
    <xf numFmtId="0" fontId="0" fillId="8" borderId="62" xfId="0" applyFill="1" applyBorder="1" applyAlignment="1">
      <alignment wrapText="1"/>
    </xf>
    <xf numFmtId="0" fontId="0" fillId="8" borderId="62" xfId="0" applyFill="1" applyBorder="1"/>
    <xf numFmtId="0" fontId="0" fillId="8" borderId="23" xfId="0" applyFill="1" applyBorder="1" applyAlignment="1">
      <alignment wrapText="1"/>
    </xf>
    <xf numFmtId="0" fontId="16" fillId="8" borderId="5" xfId="0" applyFont="1" applyFill="1" applyBorder="1" applyAlignment="1">
      <alignment wrapText="1"/>
    </xf>
    <xf numFmtId="0" fontId="15" fillId="8" borderId="60" xfId="0" applyFont="1" applyFill="1" applyBorder="1" applyAlignment="1">
      <alignment horizontal="center"/>
    </xf>
    <xf numFmtId="0" fontId="15" fillId="8" borderId="26" xfId="0" applyFont="1" applyFill="1" applyBorder="1" applyAlignment="1">
      <alignment horizontal="center"/>
    </xf>
    <xf numFmtId="0" fontId="15" fillId="8" borderId="29" xfId="0" applyFont="1" applyFill="1" applyBorder="1" applyAlignment="1">
      <alignment horizontal="center"/>
    </xf>
    <xf numFmtId="0" fontId="15" fillId="8" borderId="65" xfId="0" applyFont="1" applyFill="1" applyBorder="1" applyAlignment="1">
      <alignment horizontal="center"/>
    </xf>
    <xf numFmtId="0" fontId="15" fillId="8" borderId="68" xfId="0" applyFont="1" applyFill="1" applyBorder="1" applyAlignment="1">
      <alignment horizontal="center"/>
    </xf>
    <xf numFmtId="0" fontId="0" fillId="8" borderId="20" xfId="0" applyFill="1" applyBorder="1" applyAlignment="1">
      <alignment wrapText="1"/>
    </xf>
    <xf numFmtId="0" fontId="0" fillId="8" borderId="60" xfId="0" applyFill="1" applyBorder="1" applyAlignment="1">
      <alignment horizontal="center"/>
    </xf>
    <xf numFmtId="0" fontId="0" fillId="8" borderId="60" xfId="0" applyFill="1" applyBorder="1" applyAlignment="1">
      <alignment horizontal="right"/>
    </xf>
    <xf numFmtId="169" fontId="0" fillId="8" borderId="19" xfId="0" applyNumberFormat="1" applyFill="1" applyBorder="1" applyAlignment="1">
      <alignment horizontal="right"/>
    </xf>
    <xf numFmtId="169" fontId="0" fillId="8" borderId="60" xfId="0" applyNumberFormat="1" applyFill="1" applyBorder="1" applyAlignment="1">
      <alignment horizontal="right"/>
    </xf>
    <xf numFmtId="0" fontId="15" fillId="8" borderId="61" xfId="0" applyFont="1" applyFill="1" applyBorder="1" applyAlignment="1">
      <alignment horizontal="center"/>
    </xf>
    <xf numFmtId="0" fontId="0" fillId="8" borderId="46" xfId="0" applyFill="1" applyBorder="1" applyAlignment="1">
      <alignment wrapText="1"/>
    </xf>
    <xf numFmtId="0" fontId="0" fillId="8" borderId="61" xfId="0" applyFill="1" applyBorder="1" applyAlignment="1">
      <alignment horizontal="center"/>
    </xf>
    <xf numFmtId="0" fontId="0" fillId="8" borderId="61" xfId="0" applyFill="1" applyBorder="1" applyAlignment="1">
      <alignment horizontal="right"/>
    </xf>
    <xf numFmtId="169" fontId="0" fillId="8" borderId="57" xfId="0" applyNumberFormat="1" applyFill="1" applyBorder="1" applyAlignment="1">
      <alignment horizontal="right"/>
    </xf>
    <xf numFmtId="169" fontId="0" fillId="8" borderId="61" xfId="0" applyNumberFormat="1" applyFill="1" applyBorder="1" applyAlignment="1">
      <alignment horizontal="right"/>
    </xf>
    <xf numFmtId="166" fontId="0" fillId="8" borderId="60" xfId="0" applyNumberFormat="1" applyFill="1" applyBorder="1" applyAlignment="1">
      <alignment horizontal="right"/>
    </xf>
    <xf numFmtId="0" fontId="0" fillId="8" borderId="19" xfId="0" applyFill="1" applyBorder="1" applyAlignment="1">
      <alignment wrapText="1"/>
    </xf>
    <xf numFmtId="0" fontId="15" fillId="8" borderId="41" xfId="0" applyFont="1" applyFill="1" applyBorder="1"/>
    <xf numFmtId="0" fontId="0" fillId="8" borderId="44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15" fillId="8" borderId="31" xfId="0" applyFont="1" applyFill="1" applyBorder="1"/>
    <xf numFmtId="0" fontId="0" fillId="8" borderId="45" xfId="0" applyFill="1" applyBorder="1" applyAlignment="1">
      <alignment horizontal="center"/>
    </xf>
    <xf numFmtId="0" fontId="27" fillId="8" borderId="43" xfId="0" applyFont="1" applyFill="1" applyBorder="1"/>
    <xf numFmtId="0" fontId="0" fillId="8" borderId="42" xfId="0" applyFill="1" applyBorder="1"/>
    <xf numFmtId="0" fontId="0" fillId="8" borderId="32" xfId="0" applyFill="1" applyBorder="1"/>
    <xf numFmtId="0" fontId="0" fillId="8" borderId="44" xfId="0" applyFill="1" applyBorder="1"/>
    <xf numFmtId="166" fontId="15" fillId="8" borderId="60" xfId="0" applyNumberFormat="1" applyFont="1" applyFill="1" applyBorder="1" applyAlignment="1">
      <alignment horizontal="right"/>
    </xf>
    <xf numFmtId="166" fontId="15" fillId="8" borderId="26" xfId="0" applyNumberFormat="1" applyFont="1" applyFill="1" applyBorder="1" applyAlignment="1">
      <alignment horizontal="right"/>
    </xf>
    <xf numFmtId="166" fontId="15" fillId="8" borderId="29" xfId="0" applyNumberFormat="1" applyFont="1" applyFill="1" applyBorder="1" applyAlignment="1">
      <alignment horizontal="right"/>
    </xf>
    <xf numFmtId="0" fontId="31" fillId="8" borderId="0" xfId="0" applyFont="1" applyFill="1" applyAlignment="1">
      <alignment wrapText="1"/>
    </xf>
    <xf numFmtId="171" fontId="15" fillId="0" borderId="58" xfId="0" applyNumberFormat="1" applyFont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left"/>
    </xf>
    <xf numFmtId="0" fontId="27" fillId="5" borderId="41" xfId="0" applyFont="1" applyFill="1" applyBorder="1" applyAlignment="1">
      <alignment horizontal="left"/>
    </xf>
    <xf numFmtId="173" fontId="0" fillId="5" borderId="42" xfId="0" applyNumberFormat="1" applyFill="1" applyBorder="1" applyAlignment="1">
      <alignment horizontal="center"/>
    </xf>
    <xf numFmtId="0" fontId="23" fillId="5" borderId="43" xfId="0" applyFont="1" applyFill="1" applyBorder="1" applyAlignment="1">
      <alignment horizontal="left"/>
    </xf>
    <xf numFmtId="172" fontId="15" fillId="5" borderId="45" xfId="0" applyNumberFormat="1" applyFont="1" applyFill="1" applyBorder="1" applyAlignment="1">
      <alignment horizontal="center"/>
    </xf>
    <xf numFmtId="175" fontId="27" fillId="5" borderId="33" xfId="0" applyNumberFormat="1" applyFont="1" applyFill="1" applyBorder="1" applyAlignment="1">
      <alignment horizontal="center"/>
    </xf>
    <xf numFmtId="0" fontId="0" fillId="8" borderId="31" xfId="0" applyFill="1" applyBorder="1" applyAlignment="1">
      <alignment wrapText="1"/>
    </xf>
    <xf numFmtId="0" fontId="0" fillId="8" borderId="41" xfId="0" applyFill="1" applyBorder="1" applyAlignment="1">
      <alignment wrapText="1"/>
    </xf>
    <xf numFmtId="0" fontId="0" fillId="8" borderId="43" xfId="0" applyFill="1" applyBorder="1" applyAlignment="1">
      <alignment wrapText="1"/>
    </xf>
    <xf numFmtId="0" fontId="0" fillId="8" borderId="64" xfId="0" applyFill="1" applyBorder="1" applyAlignment="1">
      <alignment wrapText="1"/>
    </xf>
    <xf numFmtId="0" fontId="0" fillId="8" borderId="58" xfId="0" applyFill="1" applyBorder="1" applyAlignment="1">
      <alignment horizontal="center"/>
    </xf>
    <xf numFmtId="169" fontId="0" fillId="8" borderId="5" xfId="0" applyNumberFormat="1" applyFill="1" applyBorder="1" applyAlignment="1">
      <alignment horizontal="right"/>
    </xf>
    <xf numFmtId="169" fontId="0" fillId="8" borderId="58" xfId="0" applyNumberFormat="1" applyFill="1" applyBorder="1" applyAlignment="1">
      <alignment horizontal="right"/>
    </xf>
    <xf numFmtId="0" fontId="0" fillId="0" borderId="58" xfId="0" applyBorder="1"/>
    <xf numFmtId="0" fontId="23" fillId="5" borderId="31" xfId="0" applyFont="1" applyFill="1" applyBorder="1" applyAlignment="1">
      <alignment horizontal="left"/>
    </xf>
    <xf numFmtId="170" fontId="15" fillId="5" borderId="33" xfId="0" applyNumberFormat="1" applyFont="1" applyFill="1" applyBorder="1" applyAlignment="1">
      <alignment horizontal="center"/>
    </xf>
    <xf numFmtId="170" fontId="15" fillId="5" borderId="45" xfId="0" applyNumberFormat="1" applyFont="1" applyFill="1" applyBorder="1" applyAlignment="1">
      <alignment horizontal="center"/>
    </xf>
    <xf numFmtId="176" fontId="15" fillId="0" borderId="18" xfId="0" applyNumberFormat="1" applyFont="1" applyBorder="1" applyAlignment="1">
      <alignment horizontal="center" vertical="center"/>
    </xf>
    <xf numFmtId="177" fontId="15" fillId="0" borderId="12" xfId="0" applyNumberFormat="1" applyFont="1" applyBorder="1" applyAlignment="1">
      <alignment horizontal="center" vertical="center"/>
    </xf>
    <xf numFmtId="172" fontId="15" fillId="11" borderId="15" xfId="0" applyNumberFormat="1" applyFont="1" applyFill="1" applyBorder="1" applyAlignment="1">
      <alignment horizontal="center"/>
    </xf>
    <xf numFmtId="0" fontId="19" fillId="8" borderId="0" xfId="0" applyFont="1" applyFill="1"/>
    <xf numFmtId="171" fontId="15" fillId="11" borderId="58" xfId="0" applyNumberFormat="1" applyFont="1" applyFill="1" applyBorder="1" applyAlignment="1">
      <alignment horizontal="center"/>
    </xf>
    <xf numFmtId="0" fontId="27" fillId="5" borderId="58" xfId="0" applyFont="1" applyFill="1" applyBorder="1" applyAlignment="1">
      <alignment horizontal="center"/>
    </xf>
    <xf numFmtId="0" fontId="15" fillId="4" borderId="45" xfId="0" applyFont="1" applyFill="1" applyBorder="1" applyAlignment="1">
      <alignment horizontal="center"/>
    </xf>
    <xf numFmtId="172" fontId="15" fillId="4" borderId="70" xfId="0" applyNumberFormat="1" applyFont="1" applyFill="1" applyBorder="1" applyAlignment="1">
      <alignment horizontal="center"/>
    </xf>
    <xf numFmtId="171" fontId="15" fillId="4" borderId="71" xfId="0" applyNumberFormat="1" applyFont="1" applyFill="1" applyBorder="1" applyAlignment="1">
      <alignment horizontal="center"/>
    </xf>
    <xf numFmtId="171" fontId="15" fillId="4" borderId="12" xfId="0" applyNumberFormat="1" applyFont="1" applyFill="1" applyBorder="1" applyAlignment="1">
      <alignment horizontal="center"/>
    </xf>
    <xf numFmtId="0" fontId="0" fillId="4" borderId="58" xfId="0" applyFill="1" applyBorder="1"/>
    <xf numFmtId="0" fontId="15" fillId="12" borderId="58" xfId="0" applyFont="1" applyFill="1" applyBorder="1" applyAlignment="1">
      <alignment horizontal="center"/>
    </xf>
    <xf numFmtId="0" fontId="15" fillId="12" borderId="0" xfId="0" applyFont="1" applyFill="1" applyAlignment="1">
      <alignment horizontal="center"/>
    </xf>
    <xf numFmtId="0" fontId="15" fillId="4" borderId="58" xfId="0" applyFont="1" applyFill="1" applyBorder="1" applyAlignment="1">
      <alignment horizontal="center"/>
    </xf>
    <xf numFmtId="2" fontId="0" fillId="8" borderId="58" xfId="0" applyNumberFormat="1" applyFill="1" applyBorder="1" applyAlignment="1">
      <alignment horizontal="right"/>
    </xf>
    <xf numFmtId="0" fontId="15" fillId="5" borderId="41" xfId="0" applyFont="1" applyFill="1" applyBorder="1" applyAlignment="1">
      <alignment horizontal="left"/>
    </xf>
    <xf numFmtId="171" fontId="27" fillId="0" borderId="42" xfId="0" applyNumberFormat="1" applyFont="1" applyBorder="1" applyAlignment="1">
      <alignment horizontal="center"/>
    </xf>
    <xf numFmtId="0" fontId="0" fillId="8" borderId="0" xfId="0" applyFill="1" applyAlignment="1">
      <alignment horizontal="left" vertical="center" wrapText="1"/>
    </xf>
    <xf numFmtId="0" fontId="0" fillId="8" borderId="31" xfId="0" applyFill="1" applyBorder="1"/>
    <xf numFmtId="0" fontId="0" fillId="8" borderId="33" xfId="0" applyFill="1" applyBorder="1"/>
    <xf numFmtId="0" fontId="0" fillId="8" borderId="43" xfId="0" applyFill="1" applyBorder="1"/>
    <xf numFmtId="0" fontId="0" fillId="8" borderId="45" xfId="0" applyFill="1" applyBorder="1"/>
    <xf numFmtId="0" fontId="15" fillId="8" borderId="31" xfId="0" applyFont="1" applyFill="1" applyBorder="1" applyAlignment="1">
      <alignment horizontal="center"/>
    </xf>
    <xf numFmtId="171" fontId="0" fillId="8" borderId="32" xfId="0" applyNumberFormat="1" applyFill="1" applyBorder="1" applyAlignment="1">
      <alignment horizontal="center"/>
    </xf>
    <xf numFmtId="171" fontId="0" fillId="8" borderId="41" xfId="0" applyNumberFormat="1" applyFill="1" applyBorder="1" applyAlignment="1">
      <alignment horizontal="left"/>
    </xf>
    <xf numFmtId="171" fontId="0" fillId="8" borderId="44" xfId="0" applyNumberFormat="1" applyFill="1" applyBorder="1" applyAlignment="1">
      <alignment horizontal="center"/>
    </xf>
    <xf numFmtId="0" fontId="16" fillId="8" borderId="0" xfId="0" applyFont="1" applyFill="1"/>
    <xf numFmtId="171" fontId="15" fillId="11" borderId="12" xfId="0" applyNumberFormat="1" applyFont="1" applyFill="1" applyBorder="1" applyAlignment="1">
      <alignment horizontal="center"/>
    </xf>
    <xf numFmtId="176" fontId="15" fillId="0" borderId="18" xfId="0" applyNumberFormat="1" applyFont="1" applyBorder="1" applyAlignment="1" applyProtection="1">
      <alignment horizontal="center" vertical="center"/>
      <protection locked="0"/>
    </xf>
    <xf numFmtId="177" fontId="15" fillId="0" borderId="12" xfId="0" applyNumberFormat="1" applyFont="1" applyBorder="1" applyAlignment="1" applyProtection="1">
      <alignment horizontal="center" vertical="center"/>
      <protection locked="0"/>
    </xf>
    <xf numFmtId="171" fontId="15" fillId="0" borderId="58" xfId="0" applyNumberFormat="1" applyFont="1" applyBorder="1" applyAlignment="1" applyProtection="1">
      <alignment horizontal="center" vertical="center"/>
      <protection locked="0"/>
    </xf>
    <xf numFmtId="171" fontId="27" fillId="0" borderId="18" xfId="0" applyNumberFormat="1" applyFont="1" applyBorder="1" applyAlignment="1" applyProtection="1">
      <alignment horizontal="center"/>
      <protection locked="0"/>
    </xf>
    <xf numFmtId="171" fontId="27" fillId="0" borderId="12" xfId="0" applyNumberFormat="1" applyFont="1" applyBorder="1" applyAlignment="1" applyProtection="1">
      <alignment horizontal="center"/>
      <protection locked="0"/>
    </xf>
    <xf numFmtId="0" fontId="15" fillId="4" borderId="58" xfId="0" applyFont="1" applyFill="1" applyBorder="1" applyAlignment="1" applyProtection="1">
      <alignment horizontal="center"/>
      <protection locked="0"/>
    </xf>
    <xf numFmtId="0" fontId="15" fillId="4" borderId="45" xfId="0" applyFont="1" applyFill="1" applyBorder="1" applyAlignment="1" applyProtection="1">
      <alignment horizontal="center"/>
      <protection locked="0"/>
    </xf>
    <xf numFmtId="172" fontId="15" fillId="4" borderId="70" xfId="0" applyNumberFormat="1" applyFont="1" applyFill="1" applyBorder="1" applyAlignment="1" applyProtection="1">
      <alignment horizontal="center"/>
      <protection locked="0"/>
    </xf>
    <xf numFmtId="171" fontId="15" fillId="4" borderId="71" xfId="0" applyNumberFormat="1" applyFont="1" applyFill="1" applyBorder="1" applyAlignment="1" applyProtection="1">
      <alignment horizontal="center"/>
      <protection locked="0"/>
    </xf>
    <xf numFmtId="171" fontId="15" fillId="4" borderId="12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167" fontId="15" fillId="4" borderId="19" xfId="0" applyNumberFormat="1" applyFont="1" applyFill="1" applyBorder="1" applyAlignment="1">
      <alignment vertical="center"/>
    </xf>
    <xf numFmtId="0" fontId="0" fillId="8" borderId="60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167" fontId="0" fillId="8" borderId="20" xfId="0" applyNumberFormat="1" applyFill="1" applyBorder="1" applyAlignment="1" applyProtection="1">
      <alignment vertical="center"/>
      <protection hidden="1"/>
    </xf>
    <xf numFmtId="167" fontId="0" fillId="8" borderId="62" xfId="0" applyNumberFormat="1" applyFill="1" applyBorder="1" applyAlignment="1" applyProtection="1">
      <alignment vertical="center"/>
      <protection hidden="1"/>
    </xf>
    <xf numFmtId="167" fontId="0" fillId="8" borderId="23" xfId="0" applyNumberFormat="1" applyFill="1" applyBorder="1" applyAlignment="1" applyProtection="1">
      <alignment vertical="center"/>
      <protection hidden="1"/>
    </xf>
    <xf numFmtId="167" fontId="0" fillId="8" borderId="70" xfId="0" applyNumberFormat="1" applyFill="1" applyBorder="1"/>
    <xf numFmtId="167" fontId="0" fillId="8" borderId="72" xfId="0" applyNumberFormat="1" applyFill="1" applyBorder="1"/>
    <xf numFmtId="167" fontId="0" fillId="8" borderId="72" xfId="0" applyNumberFormat="1" applyFill="1" applyBorder="1" applyAlignment="1">
      <alignment vertical="center"/>
    </xf>
    <xf numFmtId="167" fontId="0" fillId="8" borderId="71" xfId="0" applyNumberFormat="1" applyFill="1" applyBorder="1"/>
    <xf numFmtId="167" fontId="0" fillId="8" borderId="60" xfId="0" applyNumberFormat="1" applyFill="1" applyBorder="1" applyAlignment="1" applyProtection="1">
      <alignment vertical="center"/>
      <protection hidden="1"/>
    </xf>
    <xf numFmtId="167" fontId="0" fillId="8" borderId="26" xfId="0" applyNumberFormat="1" applyFill="1" applyBorder="1" applyAlignment="1" applyProtection="1">
      <alignment vertical="center"/>
      <protection hidden="1"/>
    </xf>
    <xf numFmtId="167" fontId="0" fillId="8" borderId="29" xfId="0" applyNumberFormat="1" applyFill="1" applyBorder="1" applyAlignment="1" applyProtection="1">
      <alignment vertical="center"/>
      <protection hidden="1"/>
    </xf>
    <xf numFmtId="0" fontId="0" fillId="8" borderId="26" xfId="0" applyFill="1" applyBorder="1" applyAlignment="1">
      <alignment horizontal="center" vertical="center" wrapText="1"/>
    </xf>
    <xf numFmtId="0" fontId="15" fillId="8" borderId="73" xfId="0" applyFont="1" applyFill="1" applyBorder="1"/>
    <xf numFmtId="167" fontId="15" fillId="8" borderId="68" xfId="0" applyNumberFormat="1" applyFont="1" applyFill="1" applyBorder="1" applyAlignment="1" applyProtection="1">
      <alignment vertical="center"/>
      <protection locked="0"/>
    </xf>
    <xf numFmtId="0" fontId="15" fillId="8" borderId="64" xfId="0" applyFont="1" applyFill="1" applyBorder="1"/>
    <xf numFmtId="167" fontId="15" fillId="9" borderId="58" xfId="0" applyNumberFormat="1" applyFont="1" applyFill="1" applyBorder="1" applyAlignment="1" applyProtection="1">
      <alignment horizontal="center" vertical="center"/>
      <protection locked="0"/>
    </xf>
    <xf numFmtId="0" fontId="0" fillId="8" borderId="41" xfId="0" applyFill="1" applyBorder="1" applyAlignment="1">
      <alignment horizontal="left" vertical="center"/>
    </xf>
    <xf numFmtId="0" fontId="15" fillId="0" borderId="6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8" borderId="31" xfId="0" applyFont="1" applyFill="1" applyBorder="1" applyAlignment="1">
      <alignment horizontal="center" vertical="center"/>
    </xf>
    <xf numFmtId="0" fontId="16" fillId="8" borderId="33" xfId="0" applyFont="1" applyFill="1" applyBorder="1" applyAlignment="1">
      <alignment horizontal="center" vertical="center"/>
    </xf>
    <xf numFmtId="0" fontId="16" fillId="8" borderId="41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25" fillId="10" borderId="31" xfId="0" applyFont="1" applyFill="1" applyBorder="1" applyAlignment="1">
      <alignment horizontal="center"/>
    </xf>
    <xf numFmtId="0" fontId="25" fillId="10" borderId="33" xfId="0" applyFont="1" applyFill="1" applyBorder="1" applyAlignment="1">
      <alignment horizontal="center"/>
    </xf>
    <xf numFmtId="0" fontId="25" fillId="10" borderId="43" xfId="0" applyFont="1" applyFill="1" applyBorder="1" applyAlignment="1">
      <alignment horizontal="center"/>
    </xf>
    <xf numFmtId="0" fontId="25" fillId="10" borderId="45" xfId="0" applyFont="1" applyFill="1" applyBorder="1" applyAlignment="1">
      <alignment horizontal="center"/>
    </xf>
    <xf numFmtId="0" fontId="0" fillId="8" borderId="0" xfId="0" applyFill="1" applyAlignment="1">
      <alignment horizontal="center" wrapText="1"/>
    </xf>
    <xf numFmtId="0" fontId="25" fillId="10" borderId="64" xfId="0" applyFont="1" applyFill="1" applyBorder="1" applyAlignment="1">
      <alignment horizontal="center"/>
    </xf>
    <xf numFmtId="0" fontId="25" fillId="10" borderId="6" xfId="0" applyFont="1" applyFill="1" applyBorder="1" applyAlignment="1">
      <alignment horizontal="center"/>
    </xf>
    <xf numFmtId="0" fontId="0" fillId="8" borderId="41" xfId="0" applyFill="1" applyBorder="1" applyAlignment="1">
      <alignment horizontal="left" vertical="center" wrapText="1"/>
    </xf>
    <xf numFmtId="0" fontId="25" fillId="10" borderId="41" xfId="0" applyFont="1" applyFill="1" applyBorder="1" applyAlignment="1">
      <alignment horizontal="center"/>
    </xf>
    <xf numFmtId="0" fontId="25" fillId="10" borderId="42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 wrapText="1"/>
    </xf>
    <xf numFmtId="0" fontId="15" fillId="8" borderId="20" xfId="0" applyFont="1" applyFill="1" applyBorder="1" applyAlignment="1">
      <alignment horizontal="center" wrapText="1"/>
    </xf>
    <xf numFmtId="0" fontId="15" fillId="8" borderId="70" xfId="0" applyFont="1" applyFill="1" applyBorder="1" applyAlignment="1">
      <alignment horizontal="center" wrapText="1"/>
    </xf>
    <xf numFmtId="0" fontId="26" fillId="8" borderId="31" xfId="0" applyFont="1" applyFill="1" applyBorder="1" applyAlignment="1">
      <alignment horizontal="center" vertical="center"/>
    </xf>
    <xf numFmtId="0" fontId="26" fillId="8" borderId="32" xfId="0" applyFont="1" applyFill="1" applyBorder="1" applyAlignment="1">
      <alignment horizontal="center" vertical="center"/>
    </xf>
    <xf numFmtId="0" fontId="26" fillId="8" borderId="33" xfId="0" applyFont="1" applyFill="1" applyBorder="1" applyAlignment="1">
      <alignment horizontal="center" vertical="center"/>
    </xf>
    <xf numFmtId="0" fontId="26" fillId="8" borderId="43" xfId="0" applyFont="1" applyFill="1" applyBorder="1" applyAlignment="1">
      <alignment horizontal="center" vertical="center"/>
    </xf>
    <xf numFmtId="0" fontId="26" fillId="8" borderId="44" xfId="0" applyFont="1" applyFill="1" applyBorder="1" applyAlignment="1">
      <alignment horizontal="center" vertical="center"/>
    </xf>
    <xf numFmtId="0" fontId="26" fillId="8" borderId="45" xfId="0" applyFont="1" applyFill="1" applyBorder="1" applyAlignment="1">
      <alignment horizontal="center" vertical="center"/>
    </xf>
    <xf numFmtId="0" fontId="16" fillId="8" borderId="56" xfId="0" applyFont="1" applyFill="1" applyBorder="1" applyAlignment="1">
      <alignment horizontal="center" vertical="center"/>
    </xf>
    <xf numFmtId="0" fontId="16" fillId="8" borderId="49" xfId="0" applyFont="1" applyFill="1" applyBorder="1" applyAlignment="1">
      <alignment horizontal="center" vertical="center"/>
    </xf>
    <xf numFmtId="0" fontId="16" fillId="8" borderId="51" xfId="0" applyFont="1" applyFill="1" applyBorder="1" applyAlignment="1">
      <alignment horizontal="center" vertical="center"/>
    </xf>
    <xf numFmtId="0" fontId="15" fillId="8" borderId="60" xfId="0" applyFont="1" applyFill="1" applyBorder="1" applyAlignment="1">
      <alignment horizontal="center" vertical="center"/>
    </xf>
    <xf numFmtId="0" fontId="15" fillId="8" borderId="68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wrapText="1"/>
    </xf>
    <xf numFmtId="0" fontId="15" fillId="8" borderId="19" xfId="0" applyFont="1" applyFill="1" applyBorder="1" applyAlignment="1">
      <alignment horizontal="center"/>
    </xf>
    <xf numFmtId="0" fontId="15" fillId="8" borderId="70" xfId="0" applyFont="1" applyFill="1" applyBorder="1" applyAlignment="1">
      <alignment horizontal="center"/>
    </xf>
    <xf numFmtId="0" fontId="3" fillId="2" borderId="52" xfId="2" applyFont="1" applyFill="1" applyBorder="1" applyAlignment="1">
      <alignment horizontal="left" wrapText="1"/>
    </xf>
    <xf numFmtId="0" fontId="3" fillId="2" borderId="35" xfId="2" applyFont="1" applyFill="1" applyBorder="1" applyAlignment="1">
      <alignment horizontal="left" wrapText="1"/>
    </xf>
    <xf numFmtId="0" fontId="15" fillId="8" borderId="0" xfId="0" applyFont="1" applyFill="1" applyAlignment="1">
      <alignment horizontal="center" wrapText="1"/>
    </xf>
    <xf numFmtId="0" fontId="15" fillId="8" borderId="42" xfId="0" applyFont="1" applyFill="1" applyBorder="1" applyAlignment="1">
      <alignment horizontal="center" wrapText="1"/>
    </xf>
    <xf numFmtId="0" fontId="26" fillId="8" borderId="31" xfId="0" applyFont="1" applyFill="1" applyBorder="1" applyAlignment="1">
      <alignment horizontal="center" vertical="center" wrapText="1"/>
    </xf>
    <xf numFmtId="0" fontId="26" fillId="8" borderId="32" xfId="0" applyFont="1" applyFill="1" applyBorder="1" applyAlignment="1">
      <alignment horizontal="center" vertical="center" wrapText="1"/>
    </xf>
    <xf numFmtId="0" fontId="26" fillId="8" borderId="33" xfId="0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center" vertical="center" wrapText="1"/>
    </xf>
    <xf numFmtId="0" fontId="26" fillId="8" borderId="44" xfId="0" applyFont="1" applyFill="1" applyBorder="1" applyAlignment="1">
      <alignment horizontal="center" vertical="center" wrapText="1"/>
    </xf>
    <xf numFmtId="0" fontId="26" fillId="8" borderId="45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/>
    </xf>
    <xf numFmtId="0" fontId="15" fillId="8" borderId="42" xfId="0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2" fillId="8" borderId="48" xfId="2" applyFont="1" applyFill="1" applyBorder="1" applyAlignment="1">
      <alignment horizontal="center" vertical="center"/>
    </xf>
    <xf numFmtId="0" fontId="2" fillId="8" borderId="8" xfId="2" applyFont="1" applyFill="1" applyBorder="1" applyAlignment="1">
      <alignment horizontal="center" vertical="center"/>
    </xf>
    <xf numFmtId="0" fontId="2" fillId="2" borderId="49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1" fontId="3" fillId="0" borderId="49" xfId="2" applyNumberFormat="1" applyFont="1" applyBorder="1" applyAlignment="1">
      <alignment horizontal="center" vertical="center"/>
    </xf>
    <xf numFmtId="1" fontId="3" fillId="0" borderId="9" xfId="2" applyNumberFormat="1" applyFont="1" applyBorder="1" applyAlignment="1">
      <alignment horizontal="center" vertical="center"/>
    </xf>
    <xf numFmtId="0" fontId="2" fillId="3" borderId="48" xfId="2" applyFont="1" applyFill="1" applyBorder="1" applyAlignment="1">
      <alignment horizontal="center"/>
    </xf>
    <xf numFmtId="0" fontId="2" fillId="3" borderId="49" xfId="2" applyFont="1" applyFill="1" applyBorder="1" applyAlignment="1">
      <alignment horizontal="center"/>
    </xf>
    <xf numFmtId="0" fontId="2" fillId="3" borderId="51" xfId="2" applyFont="1" applyFill="1" applyBorder="1" applyAlignment="1">
      <alignment horizontal="center"/>
    </xf>
    <xf numFmtId="0" fontId="2" fillId="4" borderId="38" xfId="2" applyFont="1" applyFill="1" applyBorder="1" applyAlignment="1">
      <alignment horizontal="center" vertical="center"/>
    </xf>
    <xf numFmtId="0" fontId="2" fillId="4" borderId="8" xfId="2" applyFont="1" applyFill="1" applyBorder="1" applyAlignment="1">
      <alignment horizontal="center" vertical="center"/>
    </xf>
    <xf numFmtId="0" fontId="2" fillId="4" borderId="37" xfId="2" applyFont="1" applyFill="1" applyBorder="1" applyAlignment="1">
      <alignment horizontal="center" vertical="center"/>
    </xf>
    <xf numFmtId="0" fontId="2" fillId="4" borderId="9" xfId="2" applyFont="1" applyFill="1" applyBorder="1" applyAlignment="1">
      <alignment horizontal="center" vertical="center"/>
    </xf>
    <xf numFmtId="0" fontId="4" fillId="3" borderId="52" xfId="2" applyFont="1" applyFill="1" applyBorder="1" applyAlignment="1">
      <alignment horizontal="center" vertical="center"/>
    </xf>
    <xf numFmtId="0" fontId="4" fillId="3" borderId="54" xfId="2" applyFont="1" applyFill="1" applyBorder="1" applyAlignment="1">
      <alignment horizontal="center" vertical="center"/>
    </xf>
    <xf numFmtId="0" fontId="4" fillId="3" borderId="55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4" fillId="3" borderId="46" xfId="2" applyFont="1" applyFill="1" applyBorder="1" applyAlignment="1">
      <alignment horizontal="center" vertical="center"/>
    </xf>
    <xf numFmtId="0" fontId="4" fillId="3" borderId="47" xfId="2" applyFont="1" applyFill="1" applyBorder="1" applyAlignment="1">
      <alignment horizontal="center" vertical="center"/>
    </xf>
    <xf numFmtId="0" fontId="4" fillId="3" borderId="50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2" fillId="8" borderId="16" xfId="2" applyFont="1" applyFill="1" applyBorder="1" applyAlignment="1">
      <alignment horizontal="center"/>
    </xf>
    <xf numFmtId="0" fontId="2" fillId="8" borderId="17" xfId="2" applyFont="1" applyFill="1" applyBorder="1" applyAlignment="1">
      <alignment horizontal="center"/>
    </xf>
    <xf numFmtId="0" fontId="2" fillId="8" borderId="18" xfId="2" applyFont="1" applyFill="1" applyBorder="1" applyAlignment="1">
      <alignment horizontal="center"/>
    </xf>
    <xf numFmtId="0" fontId="4" fillId="8" borderId="50" xfId="2" applyFont="1" applyFill="1" applyBorder="1" applyAlignment="1">
      <alignment horizontal="center"/>
    </xf>
    <xf numFmtId="0" fontId="4" fillId="8" borderId="32" xfId="2" applyFont="1" applyFill="1" applyBorder="1" applyAlignment="1">
      <alignment horizontal="center"/>
    </xf>
    <xf numFmtId="0" fontId="4" fillId="8" borderId="33" xfId="2" applyFont="1" applyFill="1" applyBorder="1" applyAlignment="1">
      <alignment horizontal="center"/>
    </xf>
    <xf numFmtId="1" fontId="3" fillId="0" borderId="51" xfId="2" applyNumberFormat="1" applyFont="1" applyBorder="1" applyAlignment="1">
      <alignment horizontal="center" vertical="center"/>
    </xf>
    <xf numFmtId="1" fontId="3" fillId="0" borderId="10" xfId="2" applyNumberFormat="1" applyFont="1" applyBorder="1" applyAlignment="1">
      <alignment horizontal="center" vertical="center"/>
    </xf>
    <xf numFmtId="3" fontId="2" fillId="2" borderId="37" xfId="2" applyNumberFormat="1" applyFont="1" applyFill="1" applyBorder="1" applyAlignment="1">
      <alignment horizontal="center"/>
    </xf>
    <xf numFmtId="3" fontId="2" fillId="2" borderId="9" xfId="2" applyNumberFormat="1" applyFont="1" applyFill="1" applyBorder="1" applyAlignment="1">
      <alignment horizontal="center"/>
    </xf>
    <xf numFmtId="0" fontId="3" fillId="2" borderId="51" xfId="2" applyFont="1" applyFill="1" applyBorder="1" applyAlignment="1">
      <alignment horizontal="left" wrapText="1"/>
    </xf>
    <xf numFmtId="0" fontId="3" fillId="2" borderId="10" xfId="2" applyFont="1" applyFill="1" applyBorder="1" applyAlignment="1">
      <alignment horizontal="left" wrapText="1"/>
    </xf>
    <xf numFmtId="0" fontId="2" fillId="4" borderId="16" xfId="2" applyFont="1" applyFill="1" applyBorder="1" applyAlignment="1">
      <alignment horizontal="center" vertical="center"/>
    </xf>
    <xf numFmtId="0" fontId="2" fillId="4" borderId="11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4" fillId="3" borderId="17" xfId="2" applyFont="1" applyFill="1" applyBorder="1" applyAlignment="1">
      <alignment horizontal="center" vertical="center"/>
    </xf>
    <xf numFmtId="0" fontId="4" fillId="3" borderId="18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3" fillId="2" borderId="25" xfId="2" applyFont="1" applyFill="1" applyBorder="1" applyAlignment="1">
      <alignment horizontal="left" wrapText="1"/>
    </xf>
    <xf numFmtId="0" fontId="2" fillId="3" borderId="31" xfId="2" applyFont="1" applyFill="1" applyBorder="1" applyAlignment="1">
      <alignment horizontal="center"/>
    </xf>
    <xf numFmtId="0" fontId="2" fillId="3" borderId="32" xfId="2" applyFont="1" applyFill="1" applyBorder="1" applyAlignment="1">
      <alignment horizontal="center"/>
    </xf>
    <xf numFmtId="0" fontId="2" fillId="3" borderId="33" xfId="2" applyFont="1" applyFill="1" applyBorder="1" applyAlignment="1">
      <alignment horizontal="center"/>
    </xf>
    <xf numFmtId="0" fontId="2" fillId="3" borderId="16" xfId="2" applyFont="1" applyFill="1" applyBorder="1" applyAlignment="1">
      <alignment horizontal="center"/>
    </xf>
    <xf numFmtId="0" fontId="2" fillId="3" borderId="17" xfId="2" applyFont="1" applyFill="1" applyBorder="1" applyAlignment="1">
      <alignment horizontal="center"/>
    </xf>
    <xf numFmtId="0" fontId="2" fillId="3" borderId="18" xfId="2" applyFont="1" applyFill="1" applyBorder="1" applyAlignment="1">
      <alignment horizontal="center"/>
    </xf>
    <xf numFmtId="0" fontId="16" fillId="0" borderId="6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_M.OBRA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'Factor altura'!$J$17:$J$21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'Factor altura'!$K$17:$K$21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DA-4A31-9D88-A23752C19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61824"/>
        <c:axId val="115667712"/>
      </c:scatterChart>
      <c:valAx>
        <c:axId val="1156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67712"/>
        <c:crosses val="autoZero"/>
        <c:crossBetween val="midCat"/>
      </c:valAx>
      <c:valAx>
        <c:axId val="11566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61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6010275</xdr:colOff>
      <xdr:row>17</xdr:row>
      <xdr:rowOff>85725</xdr:rowOff>
    </xdr:from>
    <xdr:to>
      <xdr:col>10</xdr:col>
      <xdr:colOff>478515</xdr:colOff>
      <xdr:row>42</xdr:row>
      <xdr:rowOff>132936</xdr:rowOff>
    </xdr:to>
    <xdr:grpSp>
      <xdr:nvGrpSpPr>
        <xdr:cNvPr id="8" name="7 Grup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0315575" y="3448050"/>
          <a:ext cx="5860140" cy="5019261"/>
          <a:chOff x="11944350" y="3400425"/>
          <a:chExt cx="5860140" cy="5019261"/>
        </a:xfrm>
      </xdr:grpSpPr>
      <xdr:pic>
        <xdr:nvPicPr>
          <xdr:cNvPr id="3" name="2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944350" y="3400425"/>
            <a:ext cx="5860140" cy="5019261"/>
          </a:xfrm>
          <a:prstGeom prst="rect">
            <a:avLst/>
          </a:prstGeom>
        </xdr:spPr>
      </xdr:pic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3935074" y="4114800"/>
            <a:ext cx="238125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 b="1">
                <a:solidFill>
                  <a:srgbClr val="FF0000"/>
                </a:solidFill>
              </a:rPr>
              <a:t>H</a:t>
            </a: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3992225" y="5810250"/>
            <a:ext cx="238125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 b="1">
                <a:solidFill>
                  <a:srgbClr val="FF0000"/>
                </a:solidFill>
              </a:rPr>
              <a:t>H</a:t>
            </a: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4163675" y="7334250"/>
            <a:ext cx="238125" cy="247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 b="1">
                <a:solidFill>
                  <a:srgbClr val="FF0000"/>
                </a:solidFill>
              </a:rPr>
              <a:t>H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2319129</xdr:colOff>
      <xdr:row>1</xdr:row>
      <xdr:rowOff>124239</xdr:rowOff>
    </xdr:from>
    <xdr:to>
      <xdr:col>13</xdr:col>
      <xdr:colOff>608965</xdr:colOff>
      <xdr:row>28</xdr:row>
      <xdr:rowOff>99391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4151" y="314739"/>
          <a:ext cx="5860140" cy="50192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9525</xdr:rowOff>
    </xdr:from>
    <xdr:to>
      <xdr:col>1</xdr:col>
      <xdr:colOff>1219200</xdr:colOff>
      <xdr:row>7</xdr:row>
      <xdr:rowOff>104775</xdr:rowOff>
    </xdr:to>
    <xdr:pic>
      <xdr:nvPicPr>
        <xdr:cNvPr id="3" name="Picture 40" descr="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00025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9525</xdr:rowOff>
    </xdr:from>
    <xdr:to>
      <xdr:col>1</xdr:col>
      <xdr:colOff>1238250</xdr:colOff>
      <xdr:row>32</xdr:row>
      <xdr:rowOff>76200</xdr:rowOff>
    </xdr:to>
    <xdr:pic>
      <xdr:nvPicPr>
        <xdr:cNvPr id="4" name="Picture 41" descr="pi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1811000"/>
          <a:ext cx="123825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18</xdr:row>
      <xdr:rowOff>347662</xdr:rowOff>
    </xdr:from>
    <xdr:to>
      <xdr:col>17</xdr:col>
      <xdr:colOff>114300</xdr:colOff>
      <xdr:row>22</xdr:row>
      <xdr:rowOff>33337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11"/>
  <sheetViews>
    <sheetView topLeftCell="A29" workbookViewId="0">
      <selection activeCell="B9" sqref="B9"/>
    </sheetView>
  </sheetViews>
  <sheetFormatPr baseColWidth="10" defaultRowHeight="15" x14ac:dyDescent="0.25"/>
  <cols>
    <col min="1" max="1" width="11.42578125" style="276"/>
    <col min="2" max="2" width="35.7109375" bestFit="1" customWidth="1"/>
    <col min="3" max="3" width="17.42578125" bestFit="1" customWidth="1"/>
    <col min="4" max="4" width="102.28515625" bestFit="1" customWidth="1"/>
    <col min="5" max="42" width="11.42578125" style="276"/>
  </cols>
  <sheetData>
    <row r="1" spans="2:4" s="276" customFormat="1" x14ac:dyDescent="0.25"/>
    <row r="2" spans="2:4" s="276" customFormat="1" x14ac:dyDescent="0.25"/>
    <row r="3" spans="2:4" s="276" customFormat="1" ht="18.75" x14ac:dyDescent="0.3">
      <c r="D3" s="539" t="s">
        <v>359</v>
      </c>
    </row>
    <row r="4" spans="2:4" s="276" customFormat="1" x14ac:dyDescent="0.25"/>
    <row r="5" spans="2:4" s="276" customFormat="1" x14ac:dyDescent="0.25">
      <c r="B5" s="409" t="s">
        <v>343</v>
      </c>
    </row>
    <row r="6" spans="2:4" s="276" customFormat="1" x14ac:dyDescent="0.25"/>
    <row r="7" spans="2:4" s="276" customFormat="1" ht="15.75" thickBot="1" x14ac:dyDescent="0.3"/>
    <row r="8" spans="2:4" ht="15.75" thickBot="1" x14ac:dyDescent="0.3">
      <c r="B8" s="572" t="s">
        <v>342</v>
      </c>
      <c r="C8" s="573"/>
      <c r="D8" s="574"/>
    </row>
    <row r="9" spans="2:4" ht="15.75" thickBot="1" x14ac:dyDescent="0.3">
      <c r="B9" s="524" t="s">
        <v>332</v>
      </c>
      <c r="C9" s="525" t="s">
        <v>333</v>
      </c>
      <c r="D9" s="524" t="s">
        <v>334</v>
      </c>
    </row>
    <row r="10" spans="2:4" ht="15.75" thickBot="1" x14ac:dyDescent="0.3">
      <c r="B10" s="176" t="s">
        <v>335</v>
      </c>
      <c r="C10" s="509"/>
      <c r="D10" s="177" t="s">
        <v>360</v>
      </c>
    </row>
    <row r="11" spans="2:4" ht="15.75" thickBot="1" x14ac:dyDescent="0.3">
      <c r="B11" s="176" t="s">
        <v>336</v>
      </c>
      <c r="C11" s="523"/>
      <c r="D11" s="177" t="s">
        <v>339</v>
      </c>
    </row>
    <row r="12" spans="2:4" ht="15.75" thickBot="1" x14ac:dyDescent="0.3">
      <c r="B12" s="176" t="s">
        <v>337</v>
      </c>
      <c r="C12" s="517"/>
      <c r="D12" s="177" t="s">
        <v>340</v>
      </c>
    </row>
    <row r="13" spans="2:4" ht="15.75" thickBot="1" x14ac:dyDescent="0.3">
      <c r="B13" s="178" t="s">
        <v>338</v>
      </c>
      <c r="C13" s="518"/>
      <c r="D13" s="184" t="s">
        <v>341</v>
      </c>
    </row>
    <row r="14" spans="2:4" s="276" customFormat="1" x14ac:dyDescent="0.25"/>
    <row r="15" spans="2:4" s="276" customFormat="1" x14ac:dyDescent="0.25"/>
    <row r="16" spans="2:4" s="276" customFormat="1" ht="15.75" thickBot="1" x14ac:dyDescent="0.3"/>
    <row r="17" spans="2:4" x14ac:dyDescent="0.25">
      <c r="B17" s="575" t="s">
        <v>287</v>
      </c>
      <c r="C17" s="576"/>
      <c r="D17" s="276"/>
    </row>
    <row r="18" spans="2:4" ht="15.75" thickBot="1" x14ac:dyDescent="0.3">
      <c r="B18" s="577"/>
      <c r="C18" s="578"/>
      <c r="D18" s="276"/>
    </row>
    <row r="19" spans="2:4" ht="16.5" thickBot="1" x14ac:dyDescent="0.3">
      <c r="B19" s="579" t="s">
        <v>330</v>
      </c>
      <c r="C19" s="580"/>
      <c r="D19" s="276"/>
    </row>
    <row r="20" spans="2:4" x14ac:dyDescent="0.25">
      <c r="B20" s="425" t="s">
        <v>320</v>
      </c>
      <c r="C20" s="513">
        <v>7</v>
      </c>
      <c r="D20" s="276" t="s">
        <v>348</v>
      </c>
    </row>
    <row r="21" spans="2:4" x14ac:dyDescent="0.25">
      <c r="B21" s="435" t="s">
        <v>321</v>
      </c>
      <c r="C21" s="514">
        <v>36</v>
      </c>
      <c r="D21" s="276"/>
    </row>
    <row r="22" spans="2:4" ht="15.75" thickBot="1" x14ac:dyDescent="0.3">
      <c r="B22" s="426" t="s">
        <v>322</v>
      </c>
      <c r="C22" s="515">
        <f>+C21*3600*C20/1000</f>
        <v>907.2</v>
      </c>
      <c r="D22" s="276"/>
    </row>
    <row r="23" spans="2:4" ht="16.5" thickBot="1" x14ac:dyDescent="0.3">
      <c r="B23" s="581" t="s">
        <v>233</v>
      </c>
      <c r="C23" s="582"/>
      <c r="D23" s="276"/>
    </row>
    <row r="24" spans="2:4" ht="15.75" thickBot="1" x14ac:dyDescent="0.3">
      <c r="B24" s="418" t="s">
        <v>233</v>
      </c>
      <c r="C24" s="526" t="s">
        <v>234</v>
      </c>
      <c r="D24" s="276" t="s">
        <v>344</v>
      </c>
    </row>
    <row r="25" spans="2:4" ht="15.75" thickBot="1" x14ac:dyDescent="0.3">
      <c r="B25" s="419" t="s">
        <v>286</v>
      </c>
      <c r="C25" s="519" t="s">
        <v>284</v>
      </c>
      <c r="D25" s="276" t="s">
        <v>345</v>
      </c>
    </row>
    <row r="26" spans="2:4" ht="15.75" thickBot="1" x14ac:dyDescent="0.3">
      <c r="B26" s="495" t="str">
        <f>+IF(C24="Excavación y Muro",  "Indique profundidad de excavación","")</f>
        <v>Indique profundidad de excavación</v>
      </c>
      <c r="C26" s="494">
        <v>1</v>
      </c>
      <c r="D26" s="276" t="s">
        <v>346</v>
      </c>
    </row>
    <row r="27" spans="2:4" ht="16.5" thickBot="1" x14ac:dyDescent="0.3">
      <c r="B27" s="579" t="s">
        <v>288</v>
      </c>
      <c r="C27" s="580"/>
      <c r="D27" s="276"/>
    </row>
    <row r="28" spans="2:4" x14ac:dyDescent="0.25">
      <c r="B28" s="429" t="s">
        <v>239</v>
      </c>
      <c r="C28" s="430" t="s">
        <v>240</v>
      </c>
      <c r="D28" s="583"/>
    </row>
    <row r="29" spans="2:4" x14ac:dyDescent="0.25">
      <c r="B29" s="431" t="s">
        <v>241</v>
      </c>
      <c r="C29" s="432">
        <v>2</v>
      </c>
      <c r="D29" s="583"/>
    </row>
    <row r="30" spans="2:4" ht="15.75" thickBot="1" x14ac:dyDescent="0.3">
      <c r="B30" s="433" t="s">
        <v>243</v>
      </c>
      <c r="C30" s="434">
        <v>0.3</v>
      </c>
      <c r="D30" s="583"/>
    </row>
    <row r="31" spans="2:4" ht="16.5" thickBot="1" x14ac:dyDescent="0.3">
      <c r="B31" s="581" t="s">
        <v>291</v>
      </c>
      <c r="C31" s="582"/>
      <c r="D31" s="276"/>
    </row>
    <row r="32" spans="2:4" x14ac:dyDescent="0.25">
      <c r="B32" s="420" t="s">
        <v>235</v>
      </c>
      <c r="C32" s="520">
        <v>900</v>
      </c>
      <c r="D32" s="276" t="s">
        <v>347</v>
      </c>
    </row>
    <row r="33" spans="2:4" ht="15.75" thickBot="1" x14ac:dyDescent="0.3">
      <c r="B33" s="421" t="s">
        <v>308</v>
      </c>
      <c r="C33" s="521">
        <v>1.5</v>
      </c>
      <c r="D33" s="276" t="s">
        <v>349</v>
      </c>
    </row>
    <row r="34" spans="2:4" ht="15.75" thickBot="1" x14ac:dyDescent="0.3">
      <c r="B34" s="413"/>
      <c r="C34" s="414"/>
      <c r="D34" s="276"/>
    </row>
    <row r="35" spans="2:4" ht="16.5" thickBot="1" x14ac:dyDescent="0.3">
      <c r="B35" s="584" t="s">
        <v>283</v>
      </c>
      <c r="C35" s="585"/>
      <c r="D35" s="276"/>
    </row>
    <row r="36" spans="2:4" x14ac:dyDescent="0.25">
      <c r="B36" s="425" t="s">
        <v>309</v>
      </c>
      <c r="C36" s="422">
        <f>+C33-C30</f>
        <v>1.2</v>
      </c>
      <c r="D36" s="276"/>
    </row>
    <row r="37" spans="2:4" x14ac:dyDescent="0.25">
      <c r="B37" s="435" t="s">
        <v>245</v>
      </c>
      <c r="C37" s="423">
        <v>650</v>
      </c>
      <c r="D37" s="276"/>
    </row>
    <row r="38" spans="2:4" x14ac:dyDescent="0.25">
      <c r="B38" s="435" t="s">
        <v>310</v>
      </c>
      <c r="C38" s="522">
        <v>25</v>
      </c>
      <c r="D38" s="276" t="s">
        <v>350</v>
      </c>
    </row>
    <row r="39" spans="2:4" ht="15.75" thickBot="1" x14ac:dyDescent="0.3">
      <c r="B39" s="426" t="s">
        <v>311</v>
      </c>
      <c r="C39" s="424">
        <f>(C37/C38)</f>
        <v>26</v>
      </c>
      <c r="D39" s="276"/>
    </row>
    <row r="40" spans="2:4" ht="15.75" thickBot="1" x14ac:dyDescent="0.3">
      <c r="B40" s="413"/>
      <c r="C40" s="414"/>
      <c r="D40" s="276"/>
    </row>
    <row r="41" spans="2:4" ht="16.5" thickBot="1" x14ac:dyDescent="0.3">
      <c r="B41" s="579" t="s">
        <v>289</v>
      </c>
      <c r="C41" s="580"/>
      <c r="D41" s="276"/>
    </row>
    <row r="42" spans="2:4" x14ac:dyDescent="0.25">
      <c r="B42" s="425" t="s">
        <v>353</v>
      </c>
      <c r="C42" s="427">
        <v>25</v>
      </c>
      <c r="D42" s="586" t="s">
        <v>351</v>
      </c>
    </row>
    <row r="43" spans="2:4" ht="15.75" thickBot="1" x14ac:dyDescent="0.3">
      <c r="B43" s="426" t="s">
        <v>354</v>
      </c>
      <c r="C43" s="428">
        <v>26</v>
      </c>
      <c r="D43" s="586"/>
    </row>
    <row r="44" spans="2:4" x14ac:dyDescent="0.25">
      <c r="B44" s="528" t="s">
        <v>355</v>
      </c>
      <c r="C44" s="529">
        <f>+C42+3*C33</f>
        <v>29.5</v>
      </c>
      <c r="D44" s="530"/>
    </row>
    <row r="45" spans="2:4" ht="15.75" thickBot="1" x14ac:dyDescent="0.3">
      <c r="B45" s="528" t="s">
        <v>356</v>
      </c>
      <c r="C45" s="529">
        <f>+C43+3*C33</f>
        <v>30.5</v>
      </c>
      <c r="D45" s="530"/>
    </row>
    <row r="46" spans="2:4" ht="16.5" thickBot="1" x14ac:dyDescent="0.3">
      <c r="B46" s="579" t="s">
        <v>290</v>
      </c>
      <c r="C46" s="580"/>
      <c r="D46" s="276"/>
    </row>
    <row r="47" spans="2:4" x14ac:dyDescent="0.25">
      <c r="B47" s="496" t="s">
        <v>317</v>
      </c>
      <c r="C47" s="501">
        <f>IF(C24="100% Excavado","Sin Muro",C33-C26)</f>
        <v>0.5</v>
      </c>
      <c r="D47" s="571" t="s">
        <v>352</v>
      </c>
    </row>
    <row r="48" spans="2:4" x14ac:dyDescent="0.25">
      <c r="B48" s="497" t="s">
        <v>316</v>
      </c>
      <c r="C48" s="498">
        <f>+C43*C42</f>
        <v>650</v>
      </c>
      <c r="D48" s="571"/>
    </row>
    <row r="49" spans="2:4" x14ac:dyDescent="0.25">
      <c r="B49" s="497" t="s">
        <v>312</v>
      </c>
      <c r="C49" s="498">
        <f>+(C42+3*(C33-C30))*(C43+3*(C33-C30))</f>
        <v>846.56000000000006</v>
      </c>
      <c r="D49" s="571"/>
    </row>
    <row r="50" spans="2:4" x14ac:dyDescent="0.25">
      <c r="B50" s="497" t="s">
        <v>250</v>
      </c>
      <c r="C50" s="498">
        <f>+(C42+3*C33)*(C43+3*C33)</f>
        <v>899.75</v>
      </c>
      <c r="D50" s="571"/>
    </row>
    <row r="51" spans="2:4" ht="15.75" thickBot="1" x14ac:dyDescent="0.3">
      <c r="B51" s="499" t="s">
        <v>255</v>
      </c>
      <c r="C51" s="500">
        <f>+AVERAGE(C48:C49)*C36</f>
        <v>897.93599999999992</v>
      </c>
      <c r="D51" s="571"/>
    </row>
    <row r="52" spans="2:4" s="276" customFormat="1" x14ac:dyDescent="0.25"/>
    <row r="53" spans="2:4" s="276" customFormat="1" x14ac:dyDescent="0.25"/>
    <row r="54" spans="2:4" s="276" customFormat="1" x14ac:dyDescent="0.25"/>
    <row r="55" spans="2:4" s="276" customFormat="1" x14ac:dyDescent="0.25"/>
    <row r="56" spans="2:4" s="276" customFormat="1" x14ac:dyDescent="0.25"/>
    <row r="57" spans="2:4" s="276" customFormat="1" x14ac:dyDescent="0.25"/>
    <row r="58" spans="2:4" s="276" customFormat="1" x14ac:dyDescent="0.25"/>
    <row r="59" spans="2:4" s="276" customFormat="1" x14ac:dyDescent="0.25"/>
    <row r="60" spans="2:4" s="276" customFormat="1" x14ac:dyDescent="0.25"/>
    <row r="61" spans="2:4" s="276" customFormat="1" x14ac:dyDescent="0.25"/>
    <row r="62" spans="2:4" s="276" customFormat="1" x14ac:dyDescent="0.25"/>
    <row r="63" spans="2:4" s="276" customFormat="1" x14ac:dyDescent="0.25"/>
    <row r="64" spans="2:4" s="276" customFormat="1" x14ac:dyDescent="0.25"/>
    <row r="65" s="276" customFormat="1" x14ac:dyDescent="0.25"/>
    <row r="66" s="276" customFormat="1" x14ac:dyDescent="0.25"/>
    <row r="67" s="276" customFormat="1" x14ac:dyDescent="0.25"/>
    <row r="68" s="276" customFormat="1" x14ac:dyDescent="0.25"/>
    <row r="69" s="276" customFormat="1" x14ac:dyDescent="0.25"/>
    <row r="70" s="276" customFormat="1" x14ac:dyDescent="0.25"/>
    <row r="71" s="276" customFormat="1" x14ac:dyDescent="0.25"/>
    <row r="72" s="276" customFormat="1" x14ac:dyDescent="0.25"/>
    <row r="73" s="276" customFormat="1" x14ac:dyDescent="0.25"/>
    <row r="74" s="276" customFormat="1" x14ac:dyDescent="0.25"/>
    <row r="75" s="276" customFormat="1" x14ac:dyDescent="0.25"/>
    <row r="76" s="276" customFormat="1" x14ac:dyDescent="0.25"/>
    <row r="77" s="276" customFormat="1" x14ac:dyDescent="0.25"/>
    <row r="78" s="276" customFormat="1" x14ac:dyDescent="0.25"/>
    <row r="79" s="276" customFormat="1" x14ac:dyDescent="0.25"/>
    <row r="80" s="276" customFormat="1" x14ac:dyDescent="0.25"/>
    <row r="81" s="276" customFormat="1" x14ac:dyDescent="0.25"/>
    <row r="82" s="276" customFormat="1" x14ac:dyDescent="0.25"/>
    <row r="83" s="276" customFormat="1" x14ac:dyDescent="0.25"/>
    <row r="84" s="276" customFormat="1" x14ac:dyDescent="0.25"/>
    <row r="85" s="276" customFormat="1" x14ac:dyDescent="0.25"/>
    <row r="86" s="276" customFormat="1" x14ac:dyDescent="0.25"/>
    <row r="87" s="276" customFormat="1" x14ac:dyDescent="0.25"/>
    <row r="88" s="276" customFormat="1" x14ac:dyDescent="0.25"/>
    <row r="89" s="276" customFormat="1" x14ac:dyDescent="0.25"/>
    <row r="90" s="276" customFormat="1" x14ac:dyDescent="0.25"/>
    <row r="91" s="276" customFormat="1" x14ac:dyDescent="0.25"/>
    <row r="92" s="276" customFormat="1" x14ac:dyDescent="0.25"/>
    <row r="93" s="276" customFormat="1" x14ac:dyDescent="0.25"/>
    <row r="94" s="276" customFormat="1" x14ac:dyDescent="0.25"/>
    <row r="95" s="276" customFormat="1" x14ac:dyDescent="0.25"/>
    <row r="96" s="276" customFormat="1" x14ac:dyDescent="0.25"/>
    <row r="97" s="276" customFormat="1" x14ac:dyDescent="0.25"/>
    <row r="98" s="276" customFormat="1" x14ac:dyDescent="0.25"/>
    <row r="99" s="276" customFormat="1" x14ac:dyDescent="0.25"/>
    <row r="100" s="276" customFormat="1" x14ac:dyDescent="0.25"/>
    <row r="101" s="276" customFormat="1" x14ac:dyDescent="0.25"/>
    <row r="102" s="276" customFormat="1" x14ac:dyDescent="0.25"/>
    <row r="103" s="276" customFormat="1" x14ac:dyDescent="0.25"/>
    <row r="104" s="276" customFormat="1" x14ac:dyDescent="0.25"/>
    <row r="105" s="276" customFormat="1" x14ac:dyDescent="0.25"/>
    <row r="106" s="276" customFormat="1" x14ac:dyDescent="0.25"/>
    <row r="107" s="276" customFormat="1" x14ac:dyDescent="0.25"/>
    <row r="108" s="276" customFormat="1" x14ac:dyDescent="0.25"/>
    <row r="109" s="276" customFormat="1" x14ac:dyDescent="0.25"/>
    <row r="110" s="276" customFormat="1" x14ac:dyDescent="0.25"/>
    <row r="111" s="276" customFormat="1" x14ac:dyDescent="0.25"/>
    <row r="112" s="276" customFormat="1" x14ac:dyDescent="0.25"/>
    <row r="113" s="276" customFormat="1" x14ac:dyDescent="0.25"/>
    <row r="114" s="276" customFormat="1" x14ac:dyDescent="0.25"/>
    <row r="115" s="276" customFormat="1" x14ac:dyDescent="0.25"/>
    <row r="116" s="276" customFormat="1" x14ac:dyDescent="0.25"/>
    <row r="117" s="276" customFormat="1" x14ac:dyDescent="0.25"/>
    <row r="118" s="276" customFormat="1" x14ac:dyDescent="0.25"/>
    <row r="119" s="276" customFormat="1" x14ac:dyDescent="0.25"/>
    <row r="120" s="276" customFormat="1" x14ac:dyDescent="0.25"/>
    <row r="121" s="276" customFormat="1" x14ac:dyDescent="0.25"/>
    <row r="122" s="276" customFormat="1" x14ac:dyDescent="0.25"/>
    <row r="123" s="276" customFormat="1" x14ac:dyDescent="0.25"/>
    <row r="124" s="276" customFormat="1" x14ac:dyDescent="0.25"/>
    <row r="125" s="276" customFormat="1" x14ac:dyDescent="0.25"/>
    <row r="126" s="276" customFormat="1" x14ac:dyDescent="0.25"/>
    <row r="127" s="276" customFormat="1" x14ac:dyDescent="0.25"/>
    <row r="128" s="276" customFormat="1" x14ac:dyDescent="0.25"/>
    <row r="129" s="276" customFormat="1" x14ac:dyDescent="0.25"/>
    <row r="130" s="276" customFormat="1" x14ac:dyDescent="0.25"/>
    <row r="131" s="276" customFormat="1" x14ac:dyDescent="0.25"/>
    <row r="132" s="276" customFormat="1" x14ac:dyDescent="0.25"/>
    <row r="133" s="276" customFormat="1" x14ac:dyDescent="0.25"/>
    <row r="134" s="276" customFormat="1" x14ac:dyDescent="0.25"/>
    <row r="135" s="276" customFormat="1" x14ac:dyDescent="0.25"/>
    <row r="136" s="276" customFormat="1" x14ac:dyDescent="0.25"/>
    <row r="137" s="276" customFormat="1" x14ac:dyDescent="0.25"/>
    <row r="138" s="276" customFormat="1" x14ac:dyDescent="0.25"/>
    <row r="139" s="276" customFormat="1" x14ac:dyDescent="0.25"/>
    <row r="140" s="276" customFormat="1" x14ac:dyDescent="0.25"/>
    <row r="141" s="276" customFormat="1" x14ac:dyDescent="0.25"/>
    <row r="142" s="276" customFormat="1" x14ac:dyDescent="0.25"/>
    <row r="143" s="276" customFormat="1" x14ac:dyDescent="0.25"/>
    <row r="144" s="276" customFormat="1" x14ac:dyDescent="0.25"/>
    <row r="145" s="276" customFormat="1" x14ac:dyDescent="0.25"/>
    <row r="146" s="276" customFormat="1" x14ac:dyDescent="0.25"/>
    <row r="147" s="276" customFormat="1" x14ac:dyDescent="0.25"/>
    <row r="148" s="276" customFormat="1" x14ac:dyDescent="0.25"/>
    <row r="149" s="276" customFormat="1" x14ac:dyDescent="0.25"/>
    <row r="150" s="276" customFormat="1" x14ac:dyDescent="0.25"/>
    <row r="151" s="276" customFormat="1" x14ac:dyDescent="0.25"/>
    <row r="152" s="276" customFormat="1" x14ac:dyDescent="0.25"/>
    <row r="153" s="276" customFormat="1" x14ac:dyDescent="0.25"/>
    <row r="154" s="276" customFormat="1" x14ac:dyDescent="0.25"/>
    <row r="155" s="276" customFormat="1" x14ac:dyDescent="0.25"/>
    <row r="156" s="276" customFormat="1" x14ac:dyDescent="0.25"/>
    <row r="157" s="276" customFormat="1" x14ac:dyDescent="0.25"/>
    <row r="158" s="276" customFormat="1" x14ac:dyDescent="0.25"/>
    <row r="159" s="276" customFormat="1" x14ac:dyDescent="0.25"/>
    <row r="160" s="276" customFormat="1" x14ac:dyDescent="0.25"/>
    <row r="161" s="276" customFormat="1" x14ac:dyDescent="0.25"/>
    <row r="162" s="276" customFormat="1" x14ac:dyDescent="0.25"/>
    <row r="163" s="276" customFormat="1" x14ac:dyDescent="0.25"/>
    <row r="164" s="276" customFormat="1" x14ac:dyDescent="0.25"/>
    <row r="165" s="276" customFormat="1" x14ac:dyDescent="0.25"/>
    <row r="166" s="276" customFormat="1" x14ac:dyDescent="0.25"/>
    <row r="167" s="276" customFormat="1" x14ac:dyDescent="0.25"/>
    <row r="168" s="276" customFormat="1" x14ac:dyDescent="0.25"/>
    <row r="169" s="276" customFormat="1" x14ac:dyDescent="0.25"/>
    <row r="170" s="276" customFormat="1" x14ac:dyDescent="0.25"/>
    <row r="171" s="276" customFormat="1" x14ac:dyDescent="0.25"/>
    <row r="172" s="276" customFormat="1" x14ac:dyDescent="0.25"/>
    <row r="173" s="276" customFormat="1" x14ac:dyDescent="0.25"/>
    <row r="174" s="276" customFormat="1" x14ac:dyDescent="0.25"/>
    <row r="175" s="276" customFormat="1" x14ac:dyDescent="0.25"/>
    <row r="176" s="276" customFormat="1" x14ac:dyDescent="0.25"/>
    <row r="177" s="276" customFormat="1" x14ac:dyDescent="0.25"/>
    <row r="178" s="276" customFormat="1" x14ac:dyDescent="0.25"/>
    <row r="179" s="276" customFormat="1" x14ac:dyDescent="0.25"/>
    <row r="180" s="276" customFormat="1" x14ac:dyDescent="0.25"/>
    <row r="181" s="276" customFormat="1" x14ac:dyDescent="0.25"/>
    <row r="182" s="276" customFormat="1" x14ac:dyDescent="0.25"/>
    <row r="183" s="276" customFormat="1" x14ac:dyDescent="0.25"/>
    <row r="184" s="276" customFormat="1" x14ac:dyDescent="0.25"/>
    <row r="185" s="276" customFormat="1" x14ac:dyDescent="0.25"/>
    <row r="186" s="276" customFormat="1" x14ac:dyDescent="0.25"/>
    <row r="187" s="276" customFormat="1" x14ac:dyDescent="0.25"/>
    <row r="188" s="276" customFormat="1" x14ac:dyDescent="0.25"/>
    <row r="189" s="276" customFormat="1" x14ac:dyDescent="0.25"/>
    <row r="190" s="276" customFormat="1" x14ac:dyDescent="0.25"/>
    <row r="191" s="276" customFormat="1" x14ac:dyDescent="0.25"/>
    <row r="192" s="276" customFormat="1" x14ac:dyDescent="0.25"/>
    <row r="193" s="276" customFormat="1" x14ac:dyDescent="0.25"/>
    <row r="194" s="276" customFormat="1" x14ac:dyDescent="0.25"/>
    <row r="195" s="276" customFormat="1" x14ac:dyDescent="0.25"/>
    <row r="196" s="276" customFormat="1" x14ac:dyDescent="0.25"/>
    <row r="197" s="276" customFormat="1" x14ac:dyDescent="0.25"/>
    <row r="198" s="276" customFormat="1" x14ac:dyDescent="0.25"/>
    <row r="199" s="276" customFormat="1" x14ac:dyDescent="0.25"/>
    <row r="200" s="276" customFormat="1" x14ac:dyDescent="0.25"/>
    <row r="201" s="276" customFormat="1" x14ac:dyDescent="0.25"/>
    <row r="202" s="276" customFormat="1" x14ac:dyDescent="0.25"/>
    <row r="203" s="276" customFormat="1" x14ac:dyDescent="0.25"/>
    <row r="204" s="276" customFormat="1" x14ac:dyDescent="0.25"/>
    <row r="205" s="276" customFormat="1" x14ac:dyDescent="0.25"/>
    <row r="206" s="276" customFormat="1" x14ac:dyDescent="0.25"/>
    <row r="207" s="276" customFormat="1" x14ac:dyDescent="0.25"/>
    <row r="208" s="276" customFormat="1" x14ac:dyDescent="0.25"/>
    <row r="209" s="276" customFormat="1" x14ac:dyDescent="0.25"/>
    <row r="210" s="276" customFormat="1" x14ac:dyDescent="0.25"/>
    <row r="211" s="276" customFormat="1" x14ac:dyDescent="0.25"/>
    <row r="212" s="276" customFormat="1" x14ac:dyDescent="0.25"/>
    <row r="213" s="276" customFormat="1" x14ac:dyDescent="0.25"/>
    <row r="214" s="276" customFormat="1" x14ac:dyDescent="0.25"/>
    <row r="215" s="276" customFormat="1" x14ac:dyDescent="0.25"/>
    <row r="216" s="276" customFormat="1" x14ac:dyDescent="0.25"/>
    <row r="217" s="276" customFormat="1" x14ac:dyDescent="0.25"/>
    <row r="218" s="276" customFormat="1" x14ac:dyDescent="0.25"/>
    <row r="219" s="276" customFormat="1" x14ac:dyDescent="0.25"/>
    <row r="220" s="276" customFormat="1" x14ac:dyDescent="0.25"/>
    <row r="221" s="276" customFormat="1" x14ac:dyDescent="0.25"/>
    <row r="222" s="276" customFormat="1" x14ac:dyDescent="0.25"/>
    <row r="223" s="276" customFormat="1" x14ac:dyDescent="0.25"/>
    <row r="224" s="276" customFormat="1" x14ac:dyDescent="0.25"/>
    <row r="225" s="276" customFormat="1" x14ac:dyDescent="0.25"/>
    <row r="226" s="276" customFormat="1" x14ac:dyDescent="0.25"/>
    <row r="227" s="276" customFormat="1" x14ac:dyDescent="0.25"/>
    <row r="228" s="276" customFormat="1" x14ac:dyDescent="0.25"/>
    <row r="229" s="276" customFormat="1" x14ac:dyDescent="0.25"/>
    <row r="230" s="276" customFormat="1" x14ac:dyDescent="0.25"/>
    <row r="231" s="276" customFormat="1" x14ac:dyDescent="0.25"/>
    <row r="232" s="276" customFormat="1" x14ac:dyDescent="0.25"/>
    <row r="233" s="276" customFormat="1" x14ac:dyDescent="0.25"/>
    <row r="234" s="276" customFormat="1" x14ac:dyDescent="0.25"/>
    <row r="235" s="276" customFormat="1" x14ac:dyDescent="0.25"/>
    <row r="236" s="276" customFormat="1" x14ac:dyDescent="0.25"/>
    <row r="237" s="276" customFormat="1" x14ac:dyDescent="0.25"/>
    <row r="238" s="276" customFormat="1" x14ac:dyDescent="0.25"/>
    <row r="239" s="276" customFormat="1" x14ac:dyDescent="0.25"/>
    <row r="240" s="276" customFormat="1" x14ac:dyDescent="0.25"/>
    <row r="241" s="276" customFormat="1" x14ac:dyDescent="0.25"/>
    <row r="242" s="276" customFormat="1" x14ac:dyDescent="0.25"/>
    <row r="243" s="276" customFormat="1" x14ac:dyDescent="0.25"/>
    <row r="244" s="276" customFormat="1" x14ac:dyDescent="0.25"/>
    <row r="245" s="276" customFormat="1" x14ac:dyDescent="0.25"/>
    <row r="246" s="276" customFormat="1" x14ac:dyDescent="0.25"/>
    <row r="247" s="276" customFormat="1" x14ac:dyDescent="0.25"/>
    <row r="248" s="276" customFormat="1" x14ac:dyDescent="0.25"/>
    <row r="249" s="276" customFormat="1" x14ac:dyDescent="0.25"/>
    <row r="250" s="276" customFormat="1" x14ac:dyDescent="0.25"/>
    <row r="251" s="276" customFormat="1" x14ac:dyDescent="0.25"/>
    <row r="252" s="276" customFormat="1" x14ac:dyDescent="0.25"/>
    <row r="253" s="276" customFormat="1" x14ac:dyDescent="0.25"/>
    <row r="254" s="276" customFormat="1" x14ac:dyDescent="0.25"/>
    <row r="255" s="276" customFormat="1" x14ac:dyDescent="0.25"/>
    <row r="256" s="276" customFormat="1" x14ac:dyDescent="0.25"/>
    <row r="257" s="276" customFormat="1" x14ac:dyDescent="0.25"/>
    <row r="258" s="276" customFormat="1" x14ac:dyDescent="0.25"/>
    <row r="259" s="276" customFormat="1" x14ac:dyDescent="0.25"/>
    <row r="260" s="276" customFormat="1" x14ac:dyDescent="0.25"/>
    <row r="261" s="276" customFormat="1" x14ac:dyDescent="0.25"/>
    <row r="262" s="276" customFormat="1" x14ac:dyDescent="0.25"/>
    <row r="263" s="276" customFormat="1" x14ac:dyDescent="0.25"/>
    <row r="264" s="276" customFormat="1" x14ac:dyDescent="0.25"/>
    <row r="265" s="276" customFormat="1" x14ac:dyDescent="0.25"/>
    <row r="266" s="276" customFormat="1" x14ac:dyDescent="0.25"/>
    <row r="267" s="276" customFormat="1" x14ac:dyDescent="0.25"/>
    <row r="268" s="276" customFormat="1" x14ac:dyDescent="0.25"/>
    <row r="269" s="276" customFormat="1" x14ac:dyDescent="0.25"/>
    <row r="270" s="276" customFormat="1" x14ac:dyDescent="0.25"/>
    <row r="271" s="276" customFormat="1" x14ac:dyDescent="0.25"/>
    <row r="272" s="276" customFormat="1" x14ac:dyDescent="0.25"/>
    <row r="273" s="276" customFormat="1" x14ac:dyDescent="0.25"/>
    <row r="274" s="276" customFormat="1" x14ac:dyDescent="0.25"/>
    <row r="275" s="276" customFormat="1" x14ac:dyDescent="0.25"/>
    <row r="276" s="276" customFormat="1" x14ac:dyDescent="0.25"/>
    <row r="277" s="276" customFormat="1" x14ac:dyDescent="0.25"/>
    <row r="278" s="276" customFormat="1" x14ac:dyDescent="0.25"/>
    <row r="279" s="276" customFormat="1" x14ac:dyDescent="0.25"/>
    <row r="280" s="276" customFormat="1" x14ac:dyDescent="0.25"/>
    <row r="281" s="276" customFormat="1" x14ac:dyDescent="0.25"/>
    <row r="282" s="276" customFormat="1" x14ac:dyDescent="0.25"/>
    <row r="283" s="276" customFormat="1" x14ac:dyDescent="0.25"/>
    <row r="284" s="276" customFormat="1" x14ac:dyDescent="0.25"/>
    <row r="285" s="276" customFormat="1" x14ac:dyDescent="0.25"/>
    <row r="286" s="276" customFormat="1" x14ac:dyDescent="0.25"/>
    <row r="287" s="276" customFormat="1" x14ac:dyDescent="0.25"/>
    <row r="288" s="276" customFormat="1" x14ac:dyDescent="0.25"/>
    <row r="289" s="276" customFormat="1" x14ac:dyDescent="0.25"/>
    <row r="290" s="276" customFormat="1" x14ac:dyDescent="0.25"/>
    <row r="291" s="276" customFormat="1" x14ac:dyDescent="0.25"/>
    <row r="292" s="276" customFormat="1" x14ac:dyDescent="0.25"/>
    <row r="293" s="276" customFormat="1" x14ac:dyDescent="0.25"/>
    <row r="294" s="276" customFormat="1" x14ac:dyDescent="0.25"/>
    <row r="295" s="276" customFormat="1" x14ac:dyDescent="0.25"/>
    <row r="296" s="276" customFormat="1" x14ac:dyDescent="0.25"/>
    <row r="297" s="276" customFormat="1" x14ac:dyDescent="0.25"/>
    <row r="298" s="276" customFormat="1" x14ac:dyDescent="0.25"/>
    <row r="299" s="276" customFormat="1" x14ac:dyDescent="0.25"/>
    <row r="300" s="276" customFormat="1" x14ac:dyDescent="0.25"/>
    <row r="301" s="276" customFormat="1" x14ac:dyDescent="0.25"/>
    <row r="302" s="276" customFormat="1" x14ac:dyDescent="0.25"/>
    <row r="303" s="276" customFormat="1" x14ac:dyDescent="0.25"/>
    <row r="304" s="276" customFormat="1" x14ac:dyDescent="0.25"/>
    <row r="305" spans="4:4" s="276" customFormat="1" x14ac:dyDescent="0.25"/>
    <row r="306" spans="4:4" s="276" customFormat="1" x14ac:dyDescent="0.25"/>
    <row r="307" spans="4:4" s="276" customFormat="1" x14ac:dyDescent="0.25"/>
    <row r="308" spans="4:4" s="276" customFormat="1" x14ac:dyDescent="0.25"/>
    <row r="309" spans="4:4" s="276" customFormat="1" x14ac:dyDescent="0.25"/>
    <row r="310" spans="4:4" x14ac:dyDescent="0.25">
      <c r="D310" s="276"/>
    </row>
    <row r="311" spans="4:4" x14ac:dyDescent="0.25">
      <c r="D311" s="276"/>
    </row>
  </sheetData>
  <sheetProtection algorithmName="SHA-512" hashValue="yzy7NvDD/YeILPlmFPtiZr/8v2oiyM4v7xLM4szybr/3+qCimbZs6H0MLOqiWwgY4b8fsehlxnAJn2YB7dyT3Q==" saltValue="VIRZaKO0YPHtahJjQADEDQ==" spinCount="100000" sheet="1" objects="1" scenarios="1"/>
  <mergeCells count="12">
    <mergeCell ref="D47:D51"/>
    <mergeCell ref="B8:D8"/>
    <mergeCell ref="B17:C18"/>
    <mergeCell ref="B19:C19"/>
    <mergeCell ref="B23:C23"/>
    <mergeCell ref="B27:C27"/>
    <mergeCell ref="D28:D30"/>
    <mergeCell ref="B31:C31"/>
    <mergeCell ref="B35:C35"/>
    <mergeCell ref="B41:C41"/>
    <mergeCell ref="D42:D43"/>
    <mergeCell ref="B46:C46"/>
  </mergeCells>
  <dataValidations count="5">
    <dataValidation type="list" allowBlank="1" showInputMessage="1" showErrorMessage="1" sqref="C24" xr:uid="{00000000-0002-0000-0000-000000000000}">
      <formula1>$AE$15:$AE$17</formula1>
    </dataValidation>
    <dataValidation type="list" allowBlank="1" showInputMessage="1" showErrorMessage="1" sqref="C33" xr:uid="{00000000-0002-0000-0000-000001000000}">
      <formula1>$AC$15:$AC$18</formula1>
    </dataValidation>
    <dataValidation type="list" allowBlank="1" showInputMessage="1" showErrorMessage="1" sqref="C25" xr:uid="{00000000-0002-0000-0000-000002000000}">
      <formula1>$AJ$7:$AJ$7</formula1>
    </dataValidation>
    <dataValidation type="list" allowBlank="1" showInputMessage="1" showErrorMessage="1" sqref="C32" xr:uid="{00000000-0002-0000-0000-000003000000}">
      <formula1>$AB$15:$AB$24</formula1>
    </dataValidation>
    <dataValidation type="list" allowBlank="1" showInputMessage="1" showErrorMessage="1" sqref="C38" xr:uid="{00000000-0002-0000-0000-000004000000}">
      <formula1>$AD$15:$AD$19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1:O182"/>
  <sheetViews>
    <sheetView topLeftCell="A166" workbookViewId="0">
      <selection activeCell="K175" sqref="K175"/>
    </sheetView>
  </sheetViews>
  <sheetFormatPr baseColWidth="10" defaultRowHeight="15" x14ac:dyDescent="0.25"/>
  <cols>
    <col min="2" max="2" width="5.28515625" bestFit="1" customWidth="1"/>
    <col min="3" max="3" width="36.140625" bestFit="1" customWidth="1"/>
    <col min="4" max="4" width="5.42578125" bestFit="1" customWidth="1"/>
    <col min="5" max="5" width="5.7109375" bestFit="1" customWidth="1"/>
    <col min="6" max="6" width="2.8554687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6.5703125" bestFit="1" customWidth="1"/>
    <col min="12" max="12" width="9.5703125" bestFit="1" customWidth="1"/>
  </cols>
  <sheetData>
    <row r="1" spans="1:15" x14ac:dyDescent="0.25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5"/>
    </row>
    <row r="2" spans="1:15" ht="15.75" thickBot="1" x14ac:dyDescent="0.3">
      <c r="A2" s="176"/>
      <c r="O2" s="177"/>
    </row>
    <row r="3" spans="1:15" ht="15.75" thickBot="1" x14ac:dyDescent="0.3">
      <c r="A3" s="176"/>
      <c r="B3" s="66" t="s">
        <v>0</v>
      </c>
      <c r="C3" s="67" t="s">
        <v>1</v>
      </c>
      <c r="D3" s="68"/>
      <c r="E3" s="68"/>
      <c r="F3" s="68"/>
      <c r="G3" s="68"/>
      <c r="H3" s="68"/>
      <c r="I3" s="67" t="s">
        <v>5</v>
      </c>
      <c r="J3" s="67" t="s">
        <v>6</v>
      </c>
      <c r="K3" s="67" t="s">
        <v>7</v>
      </c>
      <c r="L3" s="69" t="s">
        <v>8</v>
      </c>
      <c r="O3" s="177"/>
    </row>
    <row r="4" spans="1:15" ht="15.75" thickBot="1" x14ac:dyDescent="0.3">
      <c r="A4" s="176"/>
      <c r="B4" s="70"/>
      <c r="C4" s="71" t="s">
        <v>61</v>
      </c>
      <c r="D4" s="99" t="s">
        <v>2</v>
      </c>
      <c r="E4" s="100" t="s">
        <v>3</v>
      </c>
      <c r="F4" s="621" t="s">
        <v>4</v>
      </c>
      <c r="G4" s="622"/>
      <c r="H4" s="623"/>
      <c r="I4" s="72" t="s">
        <v>44</v>
      </c>
      <c r="J4" s="72">
        <v>1</v>
      </c>
      <c r="K4" s="65"/>
      <c r="L4" s="168">
        <f>+SUM(L6:L14)</f>
        <v>1279.5659469696968</v>
      </c>
      <c r="O4" s="177"/>
    </row>
    <row r="5" spans="1:15" x14ac:dyDescent="0.25">
      <c r="A5" s="176"/>
      <c r="B5" s="74"/>
      <c r="C5" s="75" t="s">
        <v>62</v>
      </c>
      <c r="D5" s="76"/>
      <c r="E5" s="185">
        <f>+rendimiento!C9</f>
        <v>88</v>
      </c>
      <c r="F5" s="76"/>
      <c r="G5" s="76"/>
      <c r="H5" s="76"/>
      <c r="I5" s="77"/>
      <c r="J5" s="77"/>
      <c r="K5" s="164"/>
      <c r="L5" s="169"/>
      <c r="O5" s="177"/>
    </row>
    <row r="6" spans="1:15" x14ac:dyDescent="0.25">
      <c r="A6" s="176"/>
      <c r="B6" s="80"/>
      <c r="C6" s="81" t="s">
        <v>74</v>
      </c>
      <c r="D6" s="82"/>
      <c r="E6" s="82"/>
      <c r="F6" s="82"/>
      <c r="G6" s="82"/>
      <c r="H6" s="82"/>
      <c r="I6" s="82" t="s">
        <v>44</v>
      </c>
      <c r="J6" s="82">
        <v>1.1000000000000001</v>
      </c>
      <c r="K6" s="165">
        <f>+'Mat y mano obra'!D25+0.33*J6*'APU DT-18'!C13</f>
        <v>550</v>
      </c>
      <c r="L6" s="170">
        <f>+K6*J6</f>
        <v>605</v>
      </c>
      <c r="O6" s="177"/>
    </row>
    <row r="7" spans="1:15" x14ac:dyDescent="0.25">
      <c r="A7" s="176"/>
      <c r="B7" s="80"/>
      <c r="C7" s="81" t="s">
        <v>64</v>
      </c>
      <c r="D7" s="82"/>
      <c r="E7" s="82"/>
      <c r="F7" s="82"/>
      <c r="G7" s="82"/>
      <c r="H7" s="82"/>
      <c r="I7" s="163" t="s">
        <v>44</v>
      </c>
      <c r="J7" s="163">
        <v>0.01</v>
      </c>
      <c r="K7" s="166">
        <f>+'Mat y mano obra'!D27</f>
        <v>872</v>
      </c>
      <c r="L7" s="170">
        <f t="shared" ref="L7:L13" si="0">+K7*J7</f>
        <v>8.7200000000000006</v>
      </c>
      <c r="O7" s="177"/>
    </row>
    <row r="8" spans="1:15" x14ac:dyDescent="0.25">
      <c r="A8" s="176"/>
      <c r="B8" s="80"/>
      <c r="C8" s="81" t="s">
        <v>28</v>
      </c>
      <c r="D8" s="82"/>
      <c r="E8" s="82"/>
      <c r="F8" s="82"/>
      <c r="G8" s="82"/>
      <c r="H8" s="82"/>
      <c r="I8" s="82"/>
      <c r="J8" s="82"/>
      <c r="K8" s="165"/>
      <c r="L8" s="170"/>
      <c r="O8" s="177"/>
    </row>
    <row r="9" spans="1:15" x14ac:dyDescent="0.25">
      <c r="A9" s="176"/>
      <c r="B9" s="80"/>
      <c r="C9" s="85" t="s">
        <v>65</v>
      </c>
      <c r="D9" s="82"/>
      <c r="E9" s="82"/>
      <c r="F9" s="82"/>
      <c r="G9" s="82"/>
      <c r="H9" s="82"/>
      <c r="I9" s="82"/>
      <c r="J9" s="82"/>
      <c r="K9" s="165"/>
      <c r="L9" s="170"/>
      <c r="O9" s="177"/>
    </row>
    <row r="10" spans="1:15" x14ac:dyDescent="0.25">
      <c r="A10" s="176"/>
      <c r="B10" s="80"/>
      <c r="C10" s="81" t="s">
        <v>66</v>
      </c>
      <c r="D10" s="82">
        <v>1</v>
      </c>
      <c r="E10" s="82">
        <f>+E5</f>
        <v>88</v>
      </c>
      <c r="F10" s="82" t="s">
        <v>44</v>
      </c>
      <c r="G10" s="82" t="s">
        <v>14</v>
      </c>
      <c r="H10" s="82" t="s">
        <v>35</v>
      </c>
      <c r="I10" s="82" t="s">
        <v>35</v>
      </c>
      <c r="J10" s="91">
        <f>+D10/E10/D10</f>
        <v>1.1363636363636364E-2</v>
      </c>
      <c r="K10" s="165">
        <f>+'Mat y mano obra'!D5</f>
        <v>16492</v>
      </c>
      <c r="L10" s="170">
        <f t="shared" si="0"/>
        <v>187.40909090909091</v>
      </c>
      <c r="O10" s="177"/>
    </row>
    <row r="11" spans="1:15" x14ac:dyDescent="0.25">
      <c r="A11" s="176"/>
      <c r="B11" s="80"/>
      <c r="C11" s="81" t="s">
        <v>67</v>
      </c>
      <c r="D11" s="82">
        <v>1</v>
      </c>
      <c r="E11" s="82">
        <f>+E5</f>
        <v>88</v>
      </c>
      <c r="F11" s="82" t="s">
        <v>44</v>
      </c>
      <c r="G11" s="82" t="s">
        <v>14</v>
      </c>
      <c r="H11" s="82" t="s">
        <v>35</v>
      </c>
      <c r="I11" s="82" t="s">
        <v>35</v>
      </c>
      <c r="J11" s="91">
        <f>+D11/E11/D11</f>
        <v>1.1363636363636364E-2</v>
      </c>
      <c r="K11" s="165">
        <f>+'Mat y mano obra'!D7</f>
        <v>11846</v>
      </c>
      <c r="L11" s="170">
        <f t="shared" si="0"/>
        <v>134.61363636363637</v>
      </c>
      <c r="O11" s="177"/>
    </row>
    <row r="12" spans="1:15" x14ac:dyDescent="0.25">
      <c r="A12" s="176"/>
      <c r="B12" s="80"/>
      <c r="C12" s="81" t="s">
        <v>68</v>
      </c>
      <c r="D12" s="82"/>
      <c r="E12" s="82"/>
      <c r="F12" s="82"/>
      <c r="G12" s="82"/>
      <c r="H12" s="82"/>
      <c r="I12" s="82" t="s">
        <v>26</v>
      </c>
      <c r="J12" s="172">
        <v>10</v>
      </c>
      <c r="K12" s="165"/>
      <c r="L12" s="170">
        <f>+SUM(L10:L11)*J12%</f>
        <v>32.202272727272728</v>
      </c>
      <c r="O12" s="177"/>
    </row>
    <row r="13" spans="1:15" x14ac:dyDescent="0.25">
      <c r="A13" s="176"/>
      <c r="B13" s="80"/>
      <c r="C13" s="81" t="s">
        <v>69</v>
      </c>
      <c r="D13" s="82">
        <v>3</v>
      </c>
      <c r="E13" s="82">
        <f>+D13*E5</f>
        <v>264</v>
      </c>
      <c r="F13" s="82" t="s">
        <v>44</v>
      </c>
      <c r="G13" s="82" t="s">
        <v>14</v>
      </c>
      <c r="H13" s="82" t="s">
        <v>15</v>
      </c>
      <c r="I13" s="82" t="s">
        <v>15</v>
      </c>
      <c r="J13" s="91">
        <f>+D13/E13/D13</f>
        <v>3.787878787878788E-3</v>
      </c>
      <c r="K13" s="165">
        <f>+'Mat y mano obra'!D4</f>
        <v>21535</v>
      </c>
      <c r="L13" s="170">
        <f t="shared" si="0"/>
        <v>81.571969696969703</v>
      </c>
      <c r="O13" s="177"/>
    </row>
    <row r="14" spans="1:15" ht="15.75" thickBot="1" x14ac:dyDescent="0.3">
      <c r="A14" s="176"/>
      <c r="B14" s="86"/>
      <c r="C14" s="87" t="s">
        <v>49</v>
      </c>
      <c r="D14" s="88"/>
      <c r="E14" s="88"/>
      <c r="F14" s="88"/>
      <c r="G14" s="88"/>
      <c r="H14" s="88"/>
      <c r="I14" s="88" t="s">
        <v>26</v>
      </c>
      <c r="J14" s="88">
        <v>57</v>
      </c>
      <c r="K14" s="167" t="s">
        <v>27</v>
      </c>
      <c r="L14" s="171">
        <f>+(L10+L11+L13)*J14%</f>
        <v>230.04897727272723</v>
      </c>
      <c r="O14" s="177"/>
    </row>
    <row r="15" spans="1:15" x14ac:dyDescent="0.25">
      <c r="A15" s="176"/>
      <c r="O15" s="177"/>
    </row>
    <row r="16" spans="1:15" ht="15.75" thickBot="1" x14ac:dyDescent="0.3">
      <c r="A16" s="176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177"/>
    </row>
    <row r="17" spans="1:15" x14ac:dyDescent="0.25">
      <c r="A17" s="176"/>
      <c r="B17" s="66" t="s">
        <v>0</v>
      </c>
      <c r="C17" s="67" t="s">
        <v>1</v>
      </c>
      <c r="D17" s="68"/>
      <c r="E17" s="68"/>
      <c r="F17" s="68"/>
      <c r="G17" s="68"/>
      <c r="H17" s="68"/>
      <c r="I17" s="67" t="s">
        <v>5</v>
      </c>
      <c r="J17" s="67" t="s">
        <v>6</v>
      </c>
      <c r="K17" s="67" t="s">
        <v>7</v>
      </c>
      <c r="L17" s="69" t="s">
        <v>8</v>
      </c>
      <c r="O17" s="177"/>
    </row>
    <row r="18" spans="1:15" ht="15.75" thickBot="1" x14ac:dyDescent="0.3">
      <c r="A18" s="176"/>
      <c r="B18" s="70"/>
      <c r="C18" s="71" t="s">
        <v>70</v>
      </c>
      <c r="D18" s="64"/>
      <c r="E18" s="64"/>
      <c r="F18" s="64"/>
      <c r="G18" s="64"/>
      <c r="H18" s="64"/>
      <c r="I18" s="72" t="s">
        <v>44</v>
      </c>
      <c r="J18" s="72">
        <v>1</v>
      </c>
      <c r="K18" s="65"/>
      <c r="L18" s="73">
        <f>+SUM(L20:L28)</f>
        <v>1346.1505416666669</v>
      </c>
      <c r="O18" s="177"/>
    </row>
    <row r="19" spans="1:15" x14ac:dyDescent="0.25">
      <c r="A19" s="176"/>
      <c r="B19" s="74"/>
      <c r="C19" s="75" t="s">
        <v>62</v>
      </c>
      <c r="D19" s="76"/>
      <c r="E19" s="185">
        <f>+rendimiento!C10</f>
        <v>80</v>
      </c>
      <c r="F19" s="76"/>
      <c r="G19" s="76"/>
      <c r="H19" s="76"/>
      <c r="I19" s="77"/>
      <c r="J19" s="77"/>
      <c r="K19" s="78"/>
      <c r="L19" s="79"/>
      <c r="O19" s="177"/>
    </row>
    <row r="20" spans="1:15" x14ac:dyDescent="0.25">
      <c r="A20" s="176"/>
      <c r="B20" s="80"/>
      <c r="C20" s="81" t="s">
        <v>63</v>
      </c>
      <c r="D20" s="82"/>
      <c r="E20" s="82"/>
      <c r="F20" s="82"/>
      <c r="G20" s="82"/>
      <c r="H20" s="82"/>
      <c r="I20" s="82" t="s">
        <v>44</v>
      </c>
      <c r="J20" s="82">
        <v>1.1000000000000001</v>
      </c>
      <c r="K20" s="83">
        <f>+'Mat y mano obra'!D25+0.33*J20*'APU DT-18'!C13</f>
        <v>550</v>
      </c>
      <c r="L20" s="84">
        <f>+K20*J20</f>
        <v>605</v>
      </c>
      <c r="O20" s="177"/>
    </row>
    <row r="21" spans="1:15" x14ac:dyDescent="0.25">
      <c r="A21" s="176"/>
      <c r="B21" s="80"/>
      <c r="C21" s="81" t="s">
        <v>64</v>
      </c>
      <c r="D21" s="82"/>
      <c r="E21" s="82"/>
      <c r="F21" s="82"/>
      <c r="G21" s="82"/>
      <c r="H21" s="82"/>
      <c r="I21" s="163" t="s">
        <v>44</v>
      </c>
      <c r="J21" s="163">
        <v>0.01</v>
      </c>
      <c r="K21" s="162">
        <f>+'Mat y mano obra'!D27</f>
        <v>872</v>
      </c>
      <c r="L21" s="84">
        <f t="shared" ref="L21:L27" si="1">+K21*J21</f>
        <v>8.7200000000000006</v>
      </c>
      <c r="O21" s="177"/>
    </row>
    <row r="22" spans="1:15" x14ac:dyDescent="0.25">
      <c r="A22" s="176"/>
      <c r="B22" s="80"/>
      <c r="C22" s="81" t="s">
        <v>28</v>
      </c>
      <c r="D22" s="82"/>
      <c r="E22" s="82"/>
      <c r="F22" s="82"/>
      <c r="G22" s="82"/>
      <c r="H22" s="82"/>
      <c r="I22" s="82"/>
      <c r="J22" s="82"/>
      <c r="K22" s="83"/>
      <c r="L22" s="84"/>
      <c r="O22" s="177"/>
    </row>
    <row r="23" spans="1:15" x14ac:dyDescent="0.25">
      <c r="A23" s="176"/>
      <c r="B23" s="80"/>
      <c r="C23" s="85" t="s">
        <v>65</v>
      </c>
      <c r="D23" s="82"/>
      <c r="E23" s="82"/>
      <c r="F23" s="82" t="s">
        <v>44</v>
      </c>
      <c r="G23" s="82" t="s">
        <v>14</v>
      </c>
      <c r="H23" s="82" t="s">
        <v>15</v>
      </c>
      <c r="I23" s="82" t="s">
        <v>15</v>
      </c>
      <c r="J23" s="82">
        <v>0.01</v>
      </c>
      <c r="K23" s="83"/>
      <c r="L23" s="84"/>
      <c r="O23" s="177"/>
    </row>
    <row r="24" spans="1:15" x14ac:dyDescent="0.25">
      <c r="A24" s="176"/>
      <c r="B24" s="80"/>
      <c r="C24" s="81" t="s">
        <v>66</v>
      </c>
      <c r="D24" s="82">
        <v>1</v>
      </c>
      <c r="E24" s="82">
        <f>+E19</f>
        <v>80</v>
      </c>
      <c r="F24" s="82" t="s">
        <v>44</v>
      </c>
      <c r="G24" s="82" t="s">
        <v>14</v>
      </c>
      <c r="H24" s="82" t="s">
        <v>35</v>
      </c>
      <c r="I24" s="82" t="s">
        <v>35</v>
      </c>
      <c r="J24" s="82">
        <f>+D24/E24/D24</f>
        <v>1.2500000000000001E-2</v>
      </c>
      <c r="K24" s="83">
        <f>+'Mat y mano obra'!D5</f>
        <v>16492</v>
      </c>
      <c r="L24" s="84">
        <f t="shared" si="1"/>
        <v>206.15</v>
      </c>
      <c r="O24" s="177"/>
    </row>
    <row r="25" spans="1:15" x14ac:dyDescent="0.25">
      <c r="A25" s="176"/>
      <c r="B25" s="80"/>
      <c r="C25" s="81" t="s">
        <v>67</v>
      </c>
      <c r="D25" s="82">
        <v>1</v>
      </c>
      <c r="E25" s="82">
        <f>+E19</f>
        <v>80</v>
      </c>
      <c r="F25" s="82" t="s">
        <v>44</v>
      </c>
      <c r="G25" s="82" t="s">
        <v>14</v>
      </c>
      <c r="H25" s="82" t="s">
        <v>35</v>
      </c>
      <c r="I25" s="82" t="s">
        <v>35</v>
      </c>
      <c r="J25" s="82">
        <f>+D25/E25/D25</f>
        <v>1.2500000000000001E-2</v>
      </c>
      <c r="K25" s="83">
        <f>+'Mat y mano obra'!D7</f>
        <v>11846</v>
      </c>
      <c r="L25" s="84">
        <f t="shared" si="1"/>
        <v>148.07500000000002</v>
      </c>
      <c r="O25" s="177"/>
    </row>
    <row r="26" spans="1:15" x14ac:dyDescent="0.25">
      <c r="A26" s="176"/>
      <c r="B26" s="80"/>
      <c r="C26" s="81" t="s">
        <v>68</v>
      </c>
      <c r="D26" s="82"/>
      <c r="E26" s="82"/>
      <c r="F26" s="82"/>
      <c r="G26" s="82"/>
      <c r="H26" s="82"/>
      <c r="I26" s="82" t="s">
        <v>26</v>
      </c>
      <c r="J26" s="82">
        <v>10</v>
      </c>
      <c r="K26" s="83"/>
      <c r="L26" s="84">
        <f>+SUM(L24:L25)*J26%</f>
        <v>35.422500000000007</v>
      </c>
      <c r="O26" s="177"/>
    </row>
    <row r="27" spans="1:15" x14ac:dyDescent="0.25">
      <c r="A27" s="176"/>
      <c r="B27" s="80"/>
      <c r="C27" s="81" t="s">
        <v>69</v>
      </c>
      <c r="D27" s="82">
        <v>3</v>
      </c>
      <c r="E27" s="82">
        <f>+D27*E19</f>
        <v>240</v>
      </c>
      <c r="F27" s="82" t="s">
        <v>44</v>
      </c>
      <c r="G27" s="82" t="s">
        <v>14</v>
      </c>
      <c r="H27" s="82" t="s">
        <v>15</v>
      </c>
      <c r="I27" s="82" t="s">
        <v>15</v>
      </c>
      <c r="J27" s="91">
        <f>+D27/E27/D27</f>
        <v>4.1666666666666666E-3</v>
      </c>
      <c r="K27" s="83">
        <f>+'Mat y mano obra'!D4</f>
        <v>21535</v>
      </c>
      <c r="L27" s="84">
        <f t="shared" si="1"/>
        <v>89.729166666666671</v>
      </c>
      <c r="O27" s="177"/>
    </row>
    <row r="28" spans="1:15" ht="15.75" thickBot="1" x14ac:dyDescent="0.3">
      <c r="A28" s="176"/>
      <c r="B28" s="86"/>
      <c r="C28" s="87" t="s">
        <v>49</v>
      </c>
      <c r="D28" s="88"/>
      <c r="E28" s="88"/>
      <c r="F28" s="88"/>
      <c r="G28" s="88"/>
      <c r="H28" s="88"/>
      <c r="I28" s="88" t="s">
        <v>26</v>
      </c>
      <c r="J28" s="88">
        <v>57</v>
      </c>
      <c r="K28" s="89" t="s">
        <v>27</v>
      </c>
      <c r="L28" s="90">
        <f>+(L24+L25+L27)*J28%</f>
        <v>253.05387500000001</v>
      </c>
      <c r="O28" s="177"/>
    </row>
    <row r="29" spans="1:15" x14ac:dyDescent="0.25">
      <c r="A29" s="176"/>
      <c r="O29" s="177"/>
    </row>
    <row r="30" spans="1:15" ht="15.75" thickBot="1" x14ac:dyDescent="0.3">
      <c r="A30" s="17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O30" s="177"/>
    </row>
    <row r="31" spans="1:15" x14ac:dyDescent="0.25">
      <c r="A31" s="176"/>
      <c r="B31" s="66" t="s">
        <v>0</v>
      </c>
      <c r="C31" s="67" t="s">
        <v>1</v>
      </c>
      <c r="D31" s="68"/>
      <c r="E31" s="68"/>
      <c r="F31" s="68"/>
      <c r="G31" s="68"/>
      <c r="H31" s="68"/>
      <c r="I31" s="67" t="s">
        <v>5</v>
      </c>
      <c r="J31" s="67" t="s">
        <v>6</v>
      </c>
      <c r="K31" s="67" t="s">
        <v>7</v>
      </c>
      <c r="L31" s="69" t="s">
        <v>8</v>
      </c>
      <c r="O31" s="177"/>
    </row>
    <row r="32" spans="1:15" ht="15.75" thickBot="1" x14ac:dyDescent="0.3">
      <c r="A32" s="176"/>
      <c r="B32" s="70"/>
      <c r="C32" s="71" t="s">
        <v>71</v>
      </c>
      <c r="D32" s="64"/>
      <c r="E32" s="64"/>
      <c r="F32" s="64"/>
      <c r="G32" s="64"/>
      <c r="H32" s="64"/>
      <c r="I32" s="72" t="s">
        <v>44</v>
      </c>
      <c r="J32" s="72">
        <v>1</v>
      </c>
      <c r="K32" s="65"/>
      <c r="L32" s="73">
        <f>+SUM(L34:L42)</f>
        <v>1590.2940555555556</v>
      </c>
      <c r="O32" s="177"/>
    </row>
    <row r="33" spans="1:15" x14ac:dyDescent="0.25">
      <c r="A33" s="176"/>
      <c r="B33" s="74"/>
      <c r="C33" s="75" t="s">
        <v>62</v>
      </c>
      <c r="D33" s="76"/>
      <c r="E33" s="185">
        <f>+rendimiento!C11</f>
        <v>60</v>
      </c>
      <c r="F33" s="76"/>
      <c r="G33" s="76"/>
      <c r="H33" s="76"/>
      <c r="I33" s="77"/>
      <c r="J33" s="77"/>
      <c r="K33" s="78"/>
      <c r="L33" s="79"/>
      <c r="O33" s="177"/>
    </row>
    <row r="34" spans="1:15" x14ac:dyDescent="0.25">
      <c r="A34" s="176"/>
      <c r="B34" s="80"/>
      <c r="C34" s="81" t="s">
        <v>63</v>
      </c>
      <c r="D34" s="82"/>
      <c r="E34" s="82"/>
      <c r="F34" s="82"/>
      <c r="G34" s="82"/>
      <c r="H34" s="82"/>
      <c r="I34" s="82" t="s">
        <v>44</v>
      </c>
      <c r="J34" s="82">
        <v>1.1000000000000001</v>
      </c>
      <c r="K34" s="83">
        <f>+'Mat y mano obra'!D25+0.33*J34*'APU DT-18'!C13</f>
        <v>550</v>
      </c>
      <c r="L34" s="84">
        <f>+K34*J34</f>
        <v>605</v>
      </c>
      <c r="O34" s="177"/>
    </row>
    <row r="35" spans="1:15" x14ac:dyDescent="0.25">
      <c r="A35" s="176"/>
      <c r="B35" s="80"/>
      <c r="C35" s="81" t="s">
        <v>64</v>
      </c>
      <c r="D35" s="82"/>
      <c r="E35" s="82"/>
      <c r="F35" s="82"/>
      <c r="G35" s="82"/>
      <c r="H35" s="82"/>
      <c r="I35" s="163" t="s">
        <v>44</v>
      </c>
      <c r="J35" s="163">
        <v>0.01</v>
      </c>
      <c r="K35" s="162">
        <f>+'Mat y mano obra'!D27</f>
        <v>872</v>
      </c>
      <c r="L35" s="84">
        <f t="shared" ref="L35:L41" si="2">+K35*J35</f>
        <v>8.7200000000000006</v>
      </c>
      <c r="O35" s="177"/>
    </row>
    <row r="36" spans="1:15" x14ac:dyDescent="0.25">
      <c r="A36" s="176"/>
      <c r="B36" s="80"/>
      <c r="C36" s="81" t="s">
        <v>28</v>
      </c>
      <c r="D36" s="82"/>
      <c r="E36" s="82"/>
      <c r="F36" s="82"/>
      <c r="G36" s="82"/>
      <c r="H36" s="82"/>
      <c r="I36" s="82"/>
      <c r="J36" s="82"/>
      <c r="K36" s="83"/>
      <c r="L36" s="84"/>
      <c r="O36" s="177"/>
    </row>
    <row r="37" spans="1:15" x14ac:dyDescent="0.25">
      <c r="A37" s="176"/>
      <c r="B37" s="80"/>
      <c r="C37" s="85" t="s">
        <v>65</v>
      </c>
      <c r="D37" s="82"/>
      <c r="E37" s="82"/>
      <c r="F37" s="82" t="s">
        <v>44</v>
      </c>
      <c r="G37" s="82" t="s">
        <v>14</v>
      </c>
      <c r="H37" s="82" t="s">
        <v>15</v>
      </c>
      <c r="I37" s="82" t="s">
        <v>15</v>
      </c>
      <c r="J37" s="91">
        <v>1.3333333333333334E-2</v>
      </c>
      <c r="K37" s="83"/>
      <c r="L37" s="84"/>
      <c r="O37" s="177"/>
    </row>
    <row r="38" spans="1:15" x14ac:dyDescent="0.25">
      <c r="A38" s="176"/>
      <c r="B38" s="80"/>
      <c r="C38" s="81" t="s">
        <v>66</v>
      </c>
      <c r="D38" s="82">
        <v>1</v>
      </c>
      <c r="E38" s="82">
        <f>+E33</f>
        <v>60</v>
      </c>
      <c r="F38" s="82" t="s">
        <v>44</v>
      </c>
      <c r="G38" s="82" t="s">
        <v>14</v>
      </c>
      <c r="H38" s="82" t="s">
        <v>35</v>
      </c>
      <c r="I38" s="82" t="s">
        <v>35</v>
      </c>
      <c r="J38" s="91">
        <f>+D38/E38/D38</f>
        <v>1.6666666666666666E-2</v>
      </c>
      <c r="K38" s="83">
        <f>+'Mat y mano obra'!D5</f>
        <v>16492</v>
      </c>
      <c r="L38" s="84">
        <f t="shared" si="2"/>
        <v>274.86666666666667</v>
      </c>
      <c r="O38" s="177"/>
    </row>
    <row r="39" spans="1:15" x14ac:dyDescent="0.25">
      <c r="A39" s="176"/>
      <c r="B39" s="80"/>
      <c r="C39" s="81" t="s">
        <v>67</v>
      </c>
      <c r="D39" s="82">
        <v>1</v>
      </c>
      <c r="E39" s="82">
        <f>+E33</f>
        <v>60</v>
      </c>
      <c r="F39" s="82" t="s">
        <v>44</v>
      </c>
      <c r="G39" s="82" t="s">
        <v>14</v>
      </c>
      <c r="H39" s="82" t="s">
        <v>35</v>
      </c>
      <c r="I39" s="82" t="s">
        <v>35</v>
      </c>
      <c r="J39" s="91">
        <f>+D39/E39/D39</f>
        <v>1.6666666666666666E-2</v>
      </c>
      <c r="K39" s="83">
        <f>+'Mat y mano obra'!D7</f>
        <v>11846</v>
      </c>
      <c r="L39" s="84">
        <f t="shared" si="2"/>
        <v>197.43333333333334</v>
      </c>
      <c r="O39" s="177"/>
    </row>
    <row r="40" spans="1:15" x14ac:dyDescent="0.25">
      <c r="A40" s="176"/>
      <c r="B40" s="80"/>
      <c r="C40" s="81" t="s">
        <v>68</v>
      </c>
      <c r="D40" s="82"/>
      <c r="E40" s="82"/>
      <c r="F40" s="82"/>
      <c r="G40" s="82"/>
      <c r="H40" s="82"/>
      <c r="I40" s="82" t="s">
        <v>26</v>
      </c>
      <c r="J40" s="172">
        <v>10</v>
      </c>
      <c r="K40" s="83"/>
      <c r="L40" s="84">
        <f>+SUM(L38:L39)*J40%</f>
        <v>47.230000000000004</v>
      </c>
      <c r="O40" s="177"/>
    </row>
    <row r="41" spans="1:15" x14ac:dyDescent="0.25">
      <c r="A41" s="176"/>
      <c r="B41" s="80"/>
      <c r="C41" s="81" t="s">
        <v>69</v>
      </c>
      <c r="D41" s="82">
        <v>3</v>
      </c>
      <c r="E41" s="82">
        <f>+D41*E33</f>
        <v>180</v>
      </c>
      <c r="F41" s="82" t="s">
        <v>44</v>
      </c>
      <c r="G41" s="82" t="s">
        <v>14</v>
      </c>
      <c r="H41" s="82" t="s">
        <v>15</v>
      </c>
      <c r="I41" s="82" t="s">
        <v>15</v>
      </c>
      <c r="J41" s="91">
        <f>+D41/E41/D41</f>
        <v>5.5555555555555558E-3</v>
      </c>
      <c r="K41" s="83">
        <f>+'Mat y mano obra'!D4</f>
        <v>21535</v>
      </c>
      <c r="L41" s="84">
        <f t="shared" si="2"/>
        <v>119.6388888888889</v>
      </c>
      <c r="O41" s="177"/>
    </row>
    <row r="42" spans="1:15" ht="15.75" thickBot="1" x14ac:dyDescent="0.3">
      <c r="A42" s="176"/>
      <c r="B42" s="86"/>
      <c r="C42" s="87" t="s">
        <v>49</v>
      </c>
      <c r="D42" s="88"/>
      <c r="E42" s="88"/>
      <c r="F42" s="88"/>
      <c r="G42" s="88"/>
      <c r="H42" s="88"/>
      <c r="I42" s="88" t="s">
        <v>26</v>
      </c>
      <c r="J42" s="88">
        <v>57</v>
      </c>
      <c r="K42" s="89" t="s">
        <v>27</v>
      </c>
      <c r="L42" s="90">
        <f>+(L38+L39+L41)*J42%</f>
        <v>337.40516666666662</v>
      </c>
      <c r="O42" s="177"/>
    </row>
    <row r="43" spans="1:15" x14ac:dyDescent="0.25">
      <c r="A43" s="176"/>
      <c r="O43" s="177"/>
    </row>
    <row r="44" spans="1:15" ht="15.75" thickBot="1" x14ac:dyDescent="0.3">
      <c r="A44" s="176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O44" s="177"/>
    </row>
    <row r="45" spans="1:15" x14ac:dyDescent="0.25">
      <c r="A45" s="176"/>
      <c r="B45" s="66" t="s">
        <v>0</v>
      </c>
      <c r="C45" s="67" t="s">
        <v>1</v>
      </c>
      <c r="D45" s="68"/>
      <c r="E45" s="68"/>
      <c r="F45" s="68"/>
      <c r="G45" s="68"/>
      <c r="H45" s="68"/>
      <c r="I45" s="67" t="s">
        <v>5</v>
      </c>
      <c r="J45" s="67" t="s">
        <v>6</v>
      </c>
      <c r="K45" s="67" t="s">
        <v>7</v>
      </c>
      <c r="L45" s="69" t="s">
        <v>8</v>
      </c>
      <c r="O45" s="177"/>
    </row>
    <row r="46" spans="1:15" ht="15.75" thickBot="1" x14ac:dyDescent="0.3">
      <c r="A46" s="176"/>
      <c r="B46" s="70"/>
      <c r="C46" s="71" t="s">
        <v>72</v>
      </c>
      <c r="D46" s="64"/>
      <c r="E46" s="64"/>
      <c r="F46" s="64"/>
      <c r="G46" s="64"/>
      <c r="H46" s="64"/>
      <c r="I46" s="72" t="s">
        <v>44</v>
      </c>
      <c r="J46" s="72">
        <v>1</v>
      </c>
      <c r="K46" s="65"/>
      <c r="L46" s="73">
        <f>+SUM(L48:L56)</f>
        <v>1740.5362179487183</v>
      </c>
      <c r="O46" s="177"/>
    </row>
    <row r="47" spans="1:15" x14ac:dyDescent="0.25">
      <c r="A47" s="176"/>
      <c r="B47" s="74"/>
      <c r="C47" s="75" t="s">
        <v>62</v>
      </c>
      <c r="D47" s="76"/>
      <c r="E47" s="185">
        <f>+rendimiento!C12</f>
        <v>52</v>
      </c>
      <c r="F47" s="76"/>
      <c r="G47" s="76"/>
      <c r="H47" s="76"/>
      <c r="I47" s="77"/>
      <c r="J47" s="77"/>
      <c r="K47" s="78"/>
      <c r="L47" s="79"/>
      <c r="O47" s="177"/>
    </row>
    <row r="48" spans="1:15" x14ac:dyDescent="0.25">
      <c r="A48" s="176"/>
      <c r="B48" s="80"/>
      <c r="C48" s="81" t="s">
        <v>63</v>
      </c>
      <c r="D48" s="82"/>
      <c r="E48" s="82"/>
      <c r="F48" s="82"/>
      <c r="G48" s="82"/>
      <c r="H48" s="82"/>
      <c r="I48" s="82" t="s">
        <v>44</v>
      </c>
      <c r="J48" s="82">
        <v>1.1000000000000001</v>
      </c>
      <c r="K48" s="83">
        <f>+'Mat y mano obra'!D25+0.33*J48*'APU DT-18'!C13</f>
        <v>550</v>
      </c>
      <c r="L48" s="84">
        <f>+K48*J48</f>
        <v>605</v>
      </c>
      <c r="O48" s="177"/>
    </row>
    <row r="49" spans="1:15" x14ac:dyDescent="0.25">
      <c r="A49" s="176"/>
      <c r="B49" s="80"/>
      <c r="C49" s="81" t="s">
        <v>64</v>
      </c>
      <c r="D49" s="82"/>
      <c r="E49" s="82"/>
      <c r="F49" s="82"/>
      <c r="G49" s="82"/>
      <c r="H49" s="82"/>
      <c r="I49" s="163" t="s">
        <v>44</v>
      </c>
      <c r="J49" s="163">
        <v>0.01</v>
      </c>
      <c r="K49" s="162">
        <f>+'Mat y mano obra'!D27</f>
        <v>872</v>
      </c>
      <c r="L49" s="84">
        <f t="shared" ref="L49:L55" si="3">+K49*J49</f>
        <v>8.7200000000000006</v>
      </c>
      <c r="O49" s="177"/>
    </row>
    <row r="50" spans="1:15" x14ac:dyDescent="0.25">
      <c r="A50" s="176"/>
      <c r="B50" s="80"/>
      <c r="C50" s="81" t="s">
        <v>28</v>
      </c>
      <c r="D50" s="82"/>
      <c r="E50" s="82"/>
      <c r="F50" s="82"/>
      <c r="G50" s="82"/>
      <c r="H50" s="82"/>
      <c r="I50" s="82"/>
      <c r="J50" s="82"/>
      <c r="K50" s="83"/>
      <c r="L50" s="84"/>
      <c r="O50" s="177"/>
    </row>
    <row r="51" spans="1:15" x14ac:dyDescent="0.25">
      <c r="A51" s="176"/>
      <c r="B51" s="80"/>
      <c r="C51" s="85" t="s">
        <v>65</v>
      </c>
      <c r="D51" s="82"/>
      <c r="E51" s="82"/>
      <c r="F51" s="82" t="s">
        <v>44</v>
      </c>
      <c r="G51" s="82" t="s">
        <v>14</v>
      </c>
      <c r="H51" s="82" t="s">
        <v>15</v>
      </c>
      <c r="I51" s="82" t="s">
        <v>15</v>
      </c>
      <c r="J51" s="91">
        <v>1.5384615384615385E-2</v>
      </c>
      <c r="K51" s="83"/>
      <c r="L51" s="84"/>
      <c r="O51" s="177"/>
    </row>
    <row r="52" spans="1:15" x14ac:dyDescent="0.25">
      <c r="A52" s="176"/>
      <c r="B52" s="80"/>
      <c r="C52" s="81" t="s">
        <v>66</v>
      </c>
      <c r="D52" s="82">
        <v>1</v>
      </c>
      <c r="E52" s="82">
        <f>+E47</f>
        <v>52</v>
      </c>
      <c r="F52" s="82" t="s">
        <v>44</v>
      </c>
      <c r="G52" s="82" t="s">
        <v>14</v>
      </c>
      <c r="H52" s="82" t="s">
        <v>35</v>
      </c>
      <c r="I52" s="82" t="s">
        <v>35</v>
      </c>
      <c r="J52" s="91">
        <f>+D52/E52/D52</f>
        <v>1.9230769230769232E-2</v>
      </c>
      <c r="K52" s="83">
        <f>+'Mat y mano obra'!D5</f>
        <v>16492</v>
      </c>
      <c r="L52" s="84">
        <f t="shared" si="3"/>
        <v>317.15384615384619</v>
      </c>
      <c r="O52" s="177"/>
    </row>
    <row r="53" spans="1:15" x14ac:dyDescent="0.25">
      <c r="A53" s="176"/>
      <c r="B53" s="80"/>
      <c r="C53" s="81" t="s">
        <v>67</v>
      </c>
      <c r="D53" s="82">
        <v>1</v>
      </c>
      <c r="E53" s="82">
        <f>+E47</f>
        <v>52</v>
      </c>
      <c r="F53" s="82" t="s">
        <v>44</v>
      </c>
      <c r="G53" s="82" t="s">
        <v>14</v>
      </c>
      <c r="H53" s="82" t="s">
        <v>35</v>
      </c>
      <c r="I53" s="82" t="s">
        <v>35</v>
      </c>
      <c r="J53" s="91">
        <f>+D53/E53/D53</f>
        <v>1.9230769230769232E-2</v>
      </c>
      <c r="K53" s="83">
        <f>+'Mat y mano obra'!D7</f>
        <v>11846</v>
      </c>
      <c r="L53" s="84">
        <f t="shared" si="3"/>
        <v>227.80769230769232</v>
      </c>
      <c r="O53" s="177"/>
    </row>
    <row r="54" spans="1:15" x14ac:dyDescent="0.25">
      <c r="A54" s="176"/>
      <c r="B54" s="80"/>
      <c r="C54" s="81" t="s">
        <v>68</v>
      </c>
      <c r="D54" s="82"/>
      <c r="E54" s="82"/>
      <c r="F54" s="82"/>
      <c r="G54" s="82"/>
      <c r="H54" s="82"/>
      <c r="I54" s="82" t="s">
        <v>26</v>
      </c>
      <c r="J54" s="172">
        <v>10</v>
      </c>
      <c r="K54" s="83"/>
      <c r="L54" s="84">
        <f>+SUM(L52:L53)*J54%</f>
        <v>54.496153846153859</v>
      </c>
      <c r="O54" s="177"/>
    </row>
    <row r="55" spans="1:15" x14ac:dyDescent="0.25">
      <c r="A55" s="176"/>
      <c r="B55" s="80"/>
      <c r="C55" s="81" t="s">
        <v>69</v>
      </c>
      <c r="D55" s="82">
        <v>3</v>
      </c>
      <c r="E55" s="82">
        <f>+D55*E47</f>
        <v>156</v>
      </c>
      <c r="F55" s="82" t="s">
        <v>44</v>
      </c>
      <c r="G55" s="82" t="s">
        <v>14</v>
      </c>
      <c r="H55" s="82" t="s">
        <v>15</v>
      </c>
      <c r="I55" s="82" t="s">
        <v>15</v>
      </c>
      <c r="J55" s="91">
        <f>+D55/E55/D55</f>
        <v>6.4102564102564109E-3</v>
      </c>
      <c r="K55" s="83">
        <f>+'Mat y mano obra'!D4</f>
        <v>21535</v>
      </c>
      <c r="L55" s="84">
        <f t="shared" si="3"/>
        <v>138.0448717948718</v>
      </c>
      <c r="O55" s="177"/>
    </row>
    <row r="56" spans="1:15" ht="15.75" thickBot="1" x14ac:dyDescent="0.3">
      <c r="A56" s="176"/>
      <c r="B56" s="86"/>
      <c r="C56" s="87" t="s">
        <v>49</v>
      </c>
      <c r="D56" s="88"/>
      <c r="E56" s="88"/>
      <c r="F56" s="88"/>
      <c r="G56" s="88"/>
      <c r="H56" s="88"/>
      <c r="I56" s="88" t="s">
        <v>26</v>
      </c>
      <c r="J56" s="88">
        <v>57</v>
      </c>
      <c r="K56" s="89" t="s">
        <v>27</v>
      </c>
      <c r="L56" s="90">
        <f>+(L52+L53+L55)*J56%</f>
        <v>389.3136538461539</v>
      </c>
      <c r="O56" s="177"/>
    </row>
    <row r="57" spans="1:15" x14ac:dyDescent="0.25">
      <c r="A57" s="176"/>
      <c r="O57" s="177"/>
    </row>
    <row r="58" spans="1:15" ht="15.75" thickBot="1" x14ac:dyDescent="0.3">
      <c r="A58" s="176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O58" s="177"/>
    </row>
    <row r="59" spans="1:15" ht="15.75" thickBot="1" x14ac:dyDescent="0.3">
      <c r="A59" s="176"/>
      <c r="B59" s="66" t="s">
        <v>0</v>
      </c>
      <c r="C59" s="67" t="s">
        <v>1</v>
      </c>
      <c r="D59" s="68"/>
      <c r="E59" s="68"/>
      <c r="F59" s="68"/>
      <c r="G59" s="68"/>
      <c r="H59" s="68"/>
      <c r="I59" s="67" t="s">
        <v>5</v>
      </c>
      <c r="J59" s="67" t="s">
        <v>6</v>
      </c>
      <c r="K59" s="67" t="s">
        <v>7</v>
      </c>
      <c r="L59" s="69" t="s">
        <v>8</v>
      </c>
      <c r="O59" s="177"/>
    </row>
    <row r="60" spans="1:15" ht="15.75" thickBot="1" x14ac:dyDescent="0.3">
      <c r="A60" s="176"/>
      <c r="B60" s="70"/>
      <c r="C60" s="71" t="s">
        <v>75</v>
      </c>
      <c r="D60" s="99" t="s">
        <v>2</v>
      </c>
      <c r="E60" s="100" t="s">
        <v>3</v>
      </c>
      <c r="F60" s="621" t="s">
        <v>4</v>
      </c>
      <c r="G60" s="622"/>
      <c r="H60" s="623"/>
      <c r="I60" s="72" t="s">
        <v>44</v>
      </c>
      <c r="J60" s="72">
        <v>1</v>
      </c>
      <c r="K60" s="65"/>
      <c r="L60" s="73">
        <f>+SUM(L62:L70)</f>
        <v>1456.1505416666669</v>
      </c>
      <c r="O60" s="177"/>
    </row>
    <row r="61" spans="1:15" x14ac:dyDescent="0.25">
      <c r="A61" s="176"/>
      <c r="B61" s="74"/>
      <c r="C61" s="75" t="s">
        <v>62</v>
      </c>
      <c r="D61" s="76"/>
      <c r="E61" s="185">
        <f>+rendimiento!C13</f>
        <v>80</v>
      </c>
      <c r="F61" s="76"/>
      <c r="G61" s="76"/>
      <c r="H61" s="76"/>
      <c r="I61" s="77"/>
      <c r="J61" s="77"/>
      <c r="K61" s="78"/>
      <c r="L61" s="79"/>
      <c r="O61" s="177"/>
    </row>
    <row r="62" spans="1:15" x14ac:dyDescent="0.25">
      <c r="A62" s="176"/>
      <c r="B62" s="80"/>
      <c r="C62" s="81" t="s">
        <v>74</v>
      </c>
      <c r="D62" s="82"/>
      <c r="E62" s="82"/>
      <c r="F62" s="82"/>
      <c r="G62" s="82"/>
      <c r="H62" s="82"/>
      <c r="I62" s="82" t="s">
        <v>44</v>
      </c>
      <c r="J62" s="82">
        <v>1.1000000000000001</v>
      </c>
      <c r="K62" s="83">
        <f>+'Mat y mano obra'!D26+0.33*J62*'APU DT-18'!C13</f>
        <v>650</v>
      </c>
      <c r="L62" s="84">
        <f>+K62*J62</f>
        <v>715.00000000000011</v>
      </c>
      <c r="O62" s="177"/>
    </row>
    <row r="63" spans="1:15" x14ac:dyDescent="0.25">
      <c r="A63" s="176"/>
      <c r="B63" s="80"/>
      <c r="C63" s="81" t="s">
        <v>64</v>
      </c>
      <c r="D63" s="82"/>
      <c r="E63" s="82"/>
      <c r="F63" s="82"/>
      <c r="G63" s="82"/>
      <c r="H63" s="82"/>
      <c r="I63" s="163" t="s">
        <v>44</v>
      </c>
      <c r="J63" s="163">
        <v>0.01</v>
      </c>
      <c r="K63" s="162">
        <f>+'Mat y mano obra'!D27</f>
        <v>872</v>
      </c>
      <c r="L63" s="84">
        <f t="shared" ref="L63:L69" si="4">+K63*J63</f>
        <v>8.7200000000000006</v>
      </c>
      <c r="O63" s="177"/>
    </row>
    <row r="64" spans="1:15" x14ac:dyDescent="0.25">
      <c r="A64" s="176"/>
      <c r="B64" s="80"/>
      <c r="C64" s="81" t="s">
        <v>28</v>
      </c>
      <c r="D64" s="82"/>
      <c r="E64" s="82"/>
      <c r="F64" s="82"/>
      <c r="G64" s="82"/>
      <c r="H64" s="82"/>
      <c r="I64" s="82"/>
      <c r="J64" s="82"/>
      <c r="K64" s="83"/>
      <c r="L64" s="84"/>
      <c r="O64" s="177"/>
    </row>
    <row r="65" spans="1:15" x14ac:dyDescent="0.25">
      <c r="A65" s="176"/>
      <c r="B65" s="80"/>
      <c r="C65" s="85" t="s">
        <v>65</v>
      </c>
      <c r="D65" s="82"/>
      <c r="E65" s="82"/>
      <c r="F65" s="82" t="s">
        <v>44</v>
      </c>
      <c r="G65" s="82" t="s">
        <v>14</v>
      </c>
      <c r="H65" s="82" t="s">
        <v>15</v>
      </c>
      <c r="I65" s="82" t="s">
        <v>15</v>
      </c>
      <c r="J65" s="82">
        <v>9.1000000000000004E-3</v>
      </c>
      <c r="K65" s="83"/>
      <c r="L65" s="84"/>
      <c r="O65" s="177"/>
    </row>
    <row r="66" spans="1:15" x14ac:dyDescent="0.25">
      <c r="A66" s="176"/>
      <c r="B66" s="80"/>
      <c r="C66" s="81" t="s">
        <v>66</v>
      </c>
      <c r="D66" s="82">
        <v>1</v>
      </c>
      <c r="E66" s="82">
        <f>+E61</f>
        <v>80</v>
      </c>
      <c r="F66" s="82" t="s">
        <v>44</v>
      </c>
      <c r="G66" s="82" t="s">
        <v>14</v>
      </c>
      <c r="H66" s="82" t="s">
        <v>35</v>
      </c>
      <c r="I66" s="82" t="s">
        <v>35</v>
      </c>
      <c r="J66" s="82">
        <f>+D66/E66/D66</f>
        <v>1.2500000000000001E-2</v>
      </c>
      <c r="K66" s="83">
        <f>+'Mat y mano obra'!D5</f>
        <v>16492</v>
      </c>
      <c r="L66" s="84">
        <f t="shared" si="4"/>
        <v>206.15</v>
      </c>
      <c r="O66" s="177"/>
    </row>
    <row r="67" spans="1:15" x14ac:dyDescent="0.25">
      <c r="A67" s="176"/>
      <c r="B67" s="80"/>
      <c r="C67" s="81" t="s">
        <v>67</v>
      </c>
      <c r="D67" s="82">
        <v>1</v>
      </c>
      <c r="E67" s="82">
        <f>+E61</f>
        <v>80</v>
      </c>
      <c r="F67" s="82" t="s">
        <v>44</v>
      </c>
      <c r="G67" s="82" t="s">
        <v>14</v>
      </c>
      <c r="H67" s="82" t="s">
        <v>35</v>
      </c>
      <c r="I67" s="82" t="s">
        <v>35</v>
      </c>
      <c r="J67" s="82">
        <f>+D67/E67/D67</f>
        <v>1.2500000000000001E-2</v>
      </c>
      <c r="K67" s="83">
        <f>+'Mat y mano obra'!D7</f>
        <v>11846</v>
      </c>
      <c r="L67" s="84">
        <f t="shared" si="4"/>
        <v>148.07500000000002</v>
      </c>
      <c r="O67" s="177"/>
    </row>
    <row r="68" spans="1:15" x14ac:dyDescent="0.25">
      <c r="A68" s="176"/>
      <c r="B68" s="80"/>
      <c r="C68" s="81" t="s">
        <v>68</v>
      </c>
      <c r="D68" s="82"/>
      <c r="E68" s="82"/>
      <c r="F68" s="82"/>
      <c r="G68" s="82"/>
      <c r="H68" s="82"/>
      <c r="I68" s="82" t="s">
        <v>26</v>
      </c>
      <c r="J68" s="82">
        <v>10</v>
      </c>
      <c r="K68" s="83"/>
      <c r="L68" s="84">
        <f>+SUM(L66:L67)*J68%</f>
        <v>35.422500000000007</v>
      </c>
      <c r="O68" s="177"/>
    </row>
    <row r="69" spans="1:15" x14ac:dyDescent="0.25">
      <c r="A69" s="176"/>
      <c r="B69" s="80"/>
      <c r="C69" s="81" t="s">
        <v>69</v>
      </c>
      <c r="D69" s="82">
        <v>3</v>
      </c>
      <c r="E69" s="82">
        <f>+D69*E61</f>
        <v>240</v>
      </c>
      <c r="F69" s="82" t="s">
        <v>44</v>
      </c>
      <c r="G69" s="82" t="s">
        <v>14</v>
      </c>
      <c r="H69" s="82" t="s">
        <v>15</v>
      </c>
      <c r="I69" s="82" t="s">
        <v>15</v>
      </c>
      <c r="J69" s="82">
        <f>+D69/E69/D69</f>
        <v>4.1666666666666666E-3</v>
      </c>
      <c r="K69" s="83">
        <f>+'Mat y mano obra'!D4</f>
        <v>21535</v>
      </c>
      <c r="L69" s="84">
        <f t="shared" si="4"/>
        <v>89.729166666666671</v>
      </c>
      <c r="O69" s="177"/>
    </row>
    <row r="70" spans="1:15" ht="15.75" thickBot="1" x14ac:dyDescent="0.3">
      <c r="A70" s="176"/>
      <c r="B70" s="86"/>
      <c r="C70" s="87" t="s">
        <v>49</v>
      </c>
      <c r="D70" s="88"/>
      <c r="E70" s="88"/>
      <c r="F70" s="88"/>
      <c r="G70" s="88"/>
      <c r="H70" s="88"/>
      <c r="I70" s="88" t="s">
        <v>26</v>
      </c>
      <c r="J70" s="88">
        <v>57</v>
      </c>
      <c r="K70" s="89" t="s">
        <v>27</v>
      </c>
      <c r="L70" s="90">
        <f>+(L66+L67+L69)*J70%</f>
        <v>253.05387500000001</v>
      </c>
      <c r="O70" s="177"/>
    </row>
    <row r="71" spans="1:15" x14ac:dyDescent="0.25">
      <c r="A71" s="176"/>
      <c r="O71" s="177"/>
    </row>
    <row r="72" spans="1:15" ht="15.75" thickBot="1" x14ac:dyDescent="0.3">
      <c r="A72" s="176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O72" s="177"/>
    </row>
    <row r="73" spans="1:15" x14ac:dyDescent="0.25">
      <c r="A73" s="176"/>
      <c r="B73" s="66" t="s">
        <v>0</v>
      </c>
      <c r="C73" s="67" t="s">
        <v>1</v>
      </c>
      <c r="D73" s="68"/>
      <c r="E73" s="68"/>
      <c r="F73" s="68"/>
      <c r="G73" s="68"/>
      <c r="H73" s="68"/>
      <c r="I73" s="67" t="s">
        <v>5</v>
      </c>
      <c r="J73" s="67" t="s">
        <v>6</v>
      </c>
      <c r="K73" s="67" t="s">
        <v>7</v>
      </c>
      <c r="L73" s="69" t="s">
        <v>8</v>
      </c>
      <c r="O73" s="177"/>
    </row>
    <row r="74" spans="1:15" ht="15.75" thickBot="1" x14ac:dyDescent="0.3">
      <c r="A74" s="176"/>
      <c r="B74" s="70"/>
      <c r="C74" s="71" t="s">
        <v>76</v>
      </c>
      <c r="D74" s="64"/>
      <c r="E74" s="64"/>
      <c r="F74" s="64"/>
      <c r="G74" s="64"/>
      <c r="H74" s="64"/>
      <c r="I74" s="72" t="s">
        <v>44</v>
      </c>
      <c r="J74" s="72">
        <v>1</v>
      </c>
      <c r="K74" s="65"/>
      <c r="L74" s="73">
        <f>+SUM(L76:L84)</f>
        <v>1456.1505416666669</v>
      </c>
      <c r="O74" s="177"/>
    </row>
    <row r="75" spans="1:15" x14ac:dyDescent="0.25">
      <c r="A75" s="176"/>
      <c r="B75" s="74"/>
      <c r="C75" s="75" t="s">
        <v>62</v>
      </c>
      <c r="D75" s="76"/>
      <c r="E75" s="185">
        <f>+rendimiento!C14</f>
        <v>80</v>
      </c>
      <c r="F75" s="76"/>
      <c r="G75" s="76"/>
      <c r="H75" s="76"/>
      <c r="I75" s="77"/>
      <c r="J75" s="77"/>
      <c r="K75" s="78"/>
      <c r="L75" s="79"/>
      <c r="O75" s="177"/>
    </row>
    <row r="76" spans="1:15" x14ac:dyDescent="0.25">
      <c r="A76" s="176"/>
      <c r="B76" s="80"/>
      <c r="C76" s="81" t="s">
        <v>63</v>
      </c>
      <c r="D76" s="82"/>
      <c r="E76" s="82"/>
      <c r="F76" s="82"/>
      <c r="G76" s="82"/>
      <c r="H76" s="82"/>
      <c r="I76" s="82" t="s">
        <v>44</v>
      </c>
      <c r="J76" s="82">
        <v>1.1000000000000001</v>
      </c>
      <c r="K76" s="83">
        <f>+'Mat y mano obra'!D26+0.33*J76*'APU DT-18'!C13</f>
        <v>650</v>
      </c>
      <c r="L76" s="84">
        <f>+K76*J76</f>
        <v>715.00000000000011</v>
      </c>
      <c r="O76" s="177"/>
    </row>
    <row r="77" spans="1:15" x14ac:dyDescent="0.25">
      <c r="A77" s="176"/>
      <c r="B77" s="80"/>
      <c r="C77" s="81" t="s">
        <v>64</v>
      </c>
      <c r="D77" s="82"/>
      <c r="E77" s="82"/>
      <c r="F77" s="82"/>
      <c r="G77" s="82"/>
      <c r="H77" s="82"/>
      <c r="I77" s="163" t="s">
        <v>44</v>
      </c>
      <c r="J77" s="163">
        <v>0.01</v>
      </c>
      <c r="K77" s="162">
        <f>+'Mat y mano obra'!D27</f>
        <v>872</v>
      </c>
      <c r="L77" s="84">
        <f t="shared" ref="L77:L83" si="5">+K77*J77</f>
        <v>8.7200000000000006</v>
      </c>
      <c r="O77" s="177"/>
    </row>
    <row r="78" spans="1:15" x14ac:dyDescent="0.25">
      <c r="A78" s="176"/>
      <c r="B78" s="80"/>
      <c r="C78" s="81" t="s">
        <v>28</v>
      </c>
      <c r="D78" s="82"/>
      <c r="E78" s="82"/>
      <c r="F78" s="82"/>
      <c r="G78" s="82"/>
      <c r="H78" s="82"/>
      <c r="I78" s="82"/>
      <c r="J78" s="82"/>
      <c r="K78" s="83"/>
      <c r="L78" s="84"/>
      <c r="O78" s="177"/>
    </row>
    <row r="79" spans="1:15" x14ac:dyDescent="0.25">
      <c r="A79" s="176"/>
      <c r="B79" s="80"/>
      <c r="C79" s="85" t="s">
        <v>65</v>
      </c>
      <c r="D79" s="82"/>
      <c r="E79" s="82"/>
      <c r="F79" s="82" t="s">
        <v>44</v>
      </c>
      <c r="G79" s="82" t="s">
        <v>14</v>
      </c>
      <c r="H79" s="82" t="s">
        <v>15</v>
      </c>
      <c r="I79" s="82" t="s">
        <v>15</v>
      </c>
      <c r="J79" s="82">
        <v>0.01</v>
      </c>
      <c r="K79" s="83"/>
      <c r="L79" s="84"/>
      <c r="O79" s="177"/>
    </row>
    <row r="80" spans="1:15" x14ac:dyDescent="0.25">
      <c r="A80" s="176"/>
      <c r="B80" s="80"/>
      <c r="C80" s="81" t="s">
        <v>66</v>
      </c>
      <c r="D80" s="82">
        <v>1</v>
      </c>
      <c r="E80" s="82">
        <f>+E75</f>
        <v>80</v>
      </c>
      <c r="F80" s="82" t="s">
        <v>44</v>
      </c>
      <c r="G80" s="82" t="s">
        <v>14</v>
      </c>
      <c r="H80" s="82" t="s">
        <v>35</v>
      </c>
      <c r="I80" s="82" t="s">
        <v>35</v>
      </c>
      <c r="J80" s="82">
        <f>+D80/E80/D80</f>
        <v>1.2500000000000001E-2</v>
      </c>
      <c r="K80" s="83">
        <f>+'Mat y mano obra'!D5</f>
        <v>16492</v>
      </c>
      <c r="L80" s="84">
        <f t="shared" si="5"/>
        <v>206.15</v>
      </c>
      <c r="O80" s="177"/>
    </row>
    <row r="81" spans="1:15" x14ac:dyDescent="0.25">
      <c r="A81" s="176"/>
      <c r="B81" s="80"/>
      <c r="C81" s="81" t="s">
        <v>67</v>
      </c>
      <c r="D81" s="82">
        <v>1</v>
      </c>
      <c r="E81" s="82">
        <f>+E75</f>
        <v>80</v>
      </c>
      <c r="F81" s="82" t="s">
        <v>44</v>
      </c>
      <c r="G81" s="82" t="s">
        <v>14</v>
      </c>
      <c r="H81" s="82" t="s">
        <v>35</v>
      </c>
      <c r="I81" s="82" t="s">
        <v>35</v>
      </c>
      <c r="J81" s="82">
        <f>+D81/E81/D81</f>
        <v>1.2500000000000001E-2</v>
      </c>
      <c r="K81" s="83">
        <f>+'Mat y mano obra'!D7</f>
        <v>11846</v>
      </c>
      <c r="L81" s="84">
        <f t="shared" si="5"/>
        <v>148.07500000000002</v>
      </c>
      <c r="O81" s="177"/>
    </row>
    <row r="82" spans="1:15" x14ac:dyDescent="0.25">
      <c r="A82" s="176"/>
      <c r="B82" s="80"/>
      <c r="C82" s="81" t="s">
        <v>68</v>
      </c>
      <c r="D82" s="82"/>
      <c r="E82" s="82"/>
      <c r="F82" s="82"/>
      <c r="G82" s="82"/>
      <c r="H82" s="82"/>
      <c r="I82" s="82" t="s">
        <v>26</v>
      </c>
      <c r="J82" s="82">
        <v>10</v>
      </c>
      <c r="K82" s="83"/>
      <c r="L82" s="84">
        <f>+SUM(L80:L81)*J82%</f>
        <v>35.422500000000007</v>
      </c>
      <c r="O82" s="177"/>
    </row>
    <row r="83" spans="1:15" x14ac:dyDescent="0.25">
      <c r="A83" s="176"/>
      <c r="B83" s="80"/>
      <c r="C83" s="81" t="s">
        <v>69</v>
      </c>
      <c r="D83" s="82">
        <v>3</v>
      </c>
      <c r="E83" s="82">
        <f>+D83*E75</f>
        <v>240</v>
      </c>
      <c r="F83" s="82" t="s">
        <v>44</v>
      </c>
      <c r="G83" s="82" t="s">
        <v>14</v>
      </c>
      <c r="H83" s="82" t="s">
        <v>15</v>
      </c>
      <c r="I83" s="82" t="s">
        <v>15</v>
      </c>
      <c r="J83" s="91">
        <f>+D83/E83/D83</f>
        <v>4.1666666666666666E-3</v>
      </c>
      <c r="K83" s="83">
        <f>+'Mat y mano obra'!D4</f>
        <v>21535</v>
      </c>
      <c r="L83" s="84">
        <f t="shared" si="5"/>
        <v>89.729166666666671</v>
      </c>
      <c r="O83" s="177"/>
    </row>
    <row r="84" spans="1:15" ht="15.75" thickBot="1" x14ac:dyDescent="0.3">
      <c r="A84" s="176"/>
      <c r="B84" s="86"/>
      <c r="C84" s="87" t="s">
        <v>49</v>
      </c>
      <c r="D84" s="88"/>
      <c r="E84" s="88"/>
      <c r="F84" s="88"/>
      <c r="G84" s="88"/>
      <c r="H84" s="88"/>
      <c r="I84" s="88" t="s">
        <v>26</v>
      </c>
      <c r="J84" s="88">
        <v>57</v>
      </c>
      <c r="K84" s="89" t="s">
        <v>27</v>
      </c>
      <c r="L84" s="90">
        <f>+(L80+L81+L83)*J84%</f>
        <v>253.05387500000001</v>
      </c>
      <c r="O84" s="177"/>
    </row>
    <row r="85" spans="1:15" x14ac:dyDescent="0.25">
      <c r="A85" s="176"/>
      <c r="O85" s="177"/>
    </row>
    <row r="86" spans="1:15" ht="15.75" thickBot="1" x14ac:dyDescent="0.3">
      <c r="A86" s="176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O86" s="177"/>
    </row>
    <row r="87" spans="1:15" x14ac:dyDescent="0.25">
      <c r="A87" s="176"/>
      <c r="B87" s="66" t="s">
        <v>0</v>
      </c>
      <c r="C87" s="67" t="s">
        <v>1</v>
      </c>
      <c r="D87" s="68"/>
      <c r="E87" s="68"/>
      <c r="F87" s="68"/>
      <c r="G87" s="68"/>
      <c r="H87" s="68"/>
      <c r="I87" s="67" t="s">
        <v>5</v>
      </c>
      <c r="J87" s="67" t="s">
        <v>6</v>
      </c>
      <c r="K87" s="67" t="s">
        <v>7</v>
      </c>
      <c r="L87" s="69" t="s">
        <v>8</v>
      </c>
      <c r="O87" s="177"/>
    </row>
    <row r="88" spans="1:15" ht="15.75" thickBot="1" x14ac:dyDescent="0.3">
      <c r="A88" s="176"/>
      <c r="B88" s="70"/>
      <c r="C88" s="71" t="s">
        <v>77</v>
      </c>
      <c r="D88" s="64"/>
      <c r="E88" s="64"/>
      <c r="F88" s="64"/>
      <c r="G88" s="64"/>
      <c r="H88" s="64"/>
      <c r="I88" s="72" t="s">
        <v>44</v>
      </c>
      <c r="J88" s="72">
        <v>1</v>
      </c>
      <c r="K88" s="65"/>
      <c r="L88" s="73">
        <f>+SUM(L90:L98)</f>
        <v>1700.2940555555558</v>
      </c>
      <c r="O88" s="177"/>
    </row>
    <row r="89" spans="1:15" x14ac:dyDescent="0.25">
      <c r="A89" s="176"/>
      <c r="B89" s="74"/>
      <c r="C89" s="75" t="s">
        <v>62</v>
      </c>
      <c r="D89" s="76"/>
      <c r="E89" s="185">
        <f>+rendimiento!C15</f>
        <v>60</v>
      </c>
      <c r="F89" s="76"/>
      <c r="G89" s="76"/>
      <c r="H89" s="76"/>
      <c r="I89" s="77"/>
      <c r="J89" s="77"/>
      <c r="K89" s="78"/>
      <c r="L89" s="79"/>
      <c r="O89" s="177"/>
    </row>
    <row r="90" spans="1:15" x14ac:dyDescent="0.25">
      <c r="A90" s="176"/>
      <c r="B90" s="80"/>
      <c r="C90" s="81" t="s">
        <v>63</v>
      </c>
      <c r="D90" s="82"/>
      <c r="E90" s="82"/>
      <c r="F90" s="82"/>
      <c r="G90" s="82"/>
      <c r="H90" s="82"/>
      <c r="I90" s="82" t="s">
        <v>44</v>
      </c>
      <c r="J90" s="82">
        <v>1.1000000000000001</v>
      </c>
      <c r="K90" s="83">
        <f>+'Mat y mano obra'!D26+0.33*J90*'APU DT-18'!C13</f>
        <v>650</v>
      </c>
      <c r="L90" s="84">
        <f>+K90*J90</f>
        <v>715.00000000000011</v>
      </c>
      <c r="O90" s="177"/>
    </row>
    <row r="91" spans="1:15" x14ac:dyDescent="0.25">
      <c r="A91" s="176"/>
      <c r="B91" s="80"/>
      <c r="C91" s="81" t="s">
        <v>64</v>
      </c>
      <c r="D91" s="82"/>
      <c r="E91" s="82"/>
      <c r="F91" s="82"/>
      <c r="G91" s="82"/>
      <c r="H91" s="82"/>
      <c r="I91" s="163" t="s">
        <v>44</v>
      </c>
      <c r="J91" s="163">
        <v>0.01</v>
      </c>
      <c r="K91" s="162">
        <f>+'Mat y mano obra'!D27</f>
        <v>872</v>
      </c>
      <c r="L91" s="84">
        <f t="shared" ref="L91:L97" si="6">+K91*J91</f>
        <v>8.7200000000000006</v>
      </c>
      <c r="O91" s="177"/>
    </row>
    <row r="92" spans="1:15" x14ac:dyDescent="0.25">
      <c r="A92" s="176"/>
      <c r="B92" s="80"/>
      <c r="C92" s="81" t="s">
        <v>28</v>
      </c>
      <c r="D92" s="82"/>
      <c r="E92" s="82"/>
      <c r="F92" s="82"/>
      <c r="G92" s="82"/>
      <c r="H92" s="82"/>
      <c r="I92" s="82"/>
      <c r="J92" s="82"/>
      <c r="K92" s="83"/>
      <c r="L92" s="84"/>
      <c r="O92" s="177"/>
    </row>
    <row r="93" spans="1:15" x14ac:dyDescent="0.25">
      <c r="A93" s="176"/>
      <c r="B93" s="80"/>
      <c r="C93" s="85" t="s">
        <v>65</v>
      </c>
      <c r="D93" s="82"/>
      <c r="E93" s="82"/>
      <c r="F93" s="82" t="s">
        <v>44</v>
      </c>
      <c r="G93" s="82" t="s">
        <v>14</v>
      </c>
      <c r="H93" s="82" t="s">
        <v>15</v>
      </c>
      <c r="I93" s="82" t="s">
        <v>15</v>
      </c>
      <c r="J93" s="91">
        <v>1.3333333333333334E-2</v>
      </c>
      <c r="K93" s="83"/>
      <c r="L93" s="84"/>
      <c r="O93" s="177"/>
    </row>
    <row r="94" spans="1:15" x14ac:dyDescent="0.25">
      <c r="A94" s="176"/>
      <c r="B94" s="80"/>
      <c r="C94" s="81" t="s">
        <v>66</v>
      </c>
      <c r="D94" s="82">
        <v>1</v>
      </c>
      <c r="E94" s="82">
        <f>+E89</f>
        <v>60</v>
      </c>
      <c r="F94" s="82" t="s">
        <v>44</v>
      </c>
      <c r="G94" s="82" t="s">
        <v>14</v>
      </c>
      <c r="H94" s="82" t="s">
        <v>35</v>
      </c>
      <c r="I94" s="82" t="s">
        <v>35</v>
      </c>
      <c r="J94" s="91">
        <f>+D94/E94/D94</f>
        <v>1.6666666666666666E-2</v>
      </c>
      <c r="K94" s="83">
        <f>+'Mat y mano obra'!D5</f>
        <v>16492</v>
      </c>
      <c r="L94" s="84">
        <f t="shared" si="6"/>
        <v>274.86666666666667</v>
      </c>
      <c r="O94" s="177"/>
    </row>
    <row r="95" spans="1:15" x14ac:dyDescent="0.25">
      <c r="A95" s="176"/>
      <c r="B95" s="80"/>
      <c r="C95" s="81" t="s">
        <v>67</v>
      </c>
      <c r="D95" s="82">
        <v>1</v>
      </c>
      <c r="E95" s="82">
        <f>+E89</f>
        <v>60</v>
      </c>
      <c r="F95" s="82" t="s">
        <v>44</v>
      </c>
      <c r="G95" s="82" t="s">
        <v>14</v>
      </c>
      <c r="H95" s="82" t="s">
        <v>35</v>
      </c>
      <c r="I95" s="82" t="s">
        <v>35</v>
      </c>
      <c r="J95" s="91">
        <f>+D95/E95/D95</f>
        <v>1.6666666666666666E-2</v>
      </c>
      <c r="K95" s="83">
        <f>+'Mat y mano obra'!D7</f>
        <v>11846</v>
      </c>
      <c r="L95" s="84">
        <f t="shared" si="6"/>
        <v>197.43333333333334</v>
      </c>
      <c r="O95" s="177"/>
    </row>
    <row r="96" spans="1:15" x14ac:dyDescent="0.25">
      <c r="A96" s="176"/>
      <c r="B96" s="80"/>
      <c r="C96" s="81" t="s">
        <v>68</v>
      </c>
      <c r="D96" s="82"/>
      <c r="E96" s="82"/>
      <c r="F96" s="82"/>
      <c r="G96" s="82"/>
      <c r="H96" s="82"/>
      <c r="I96" s="82" t="s">
        <v>26</v>
      </c>
      <c r="J96" s="172">
        <v>10</v>
      </c>
      <c r="K96" s="83"/>
      <c r="L96" s="84">
        <f>+SUM(L94:L95)*J96%</f>
        <v>47.230000000000004</v>
      </c>
      <c r="O96" s="177"/>
    </row>
    <row r="97" spans="1:15" x14ac:dyDescent="0.25">
      <c r="A97" s="176"/>
      <c r="B97" s="80"/>
      <c r="C97" s="81" t="s">
        <v>69</v>
      </c>
      <c r="D97" s="82">
        <v>3</v>
      </c>
      <c r="E97" s="82">
        <f>+D97*E89</f>
        <v>180</v>
      </c>
      <c r="F97" s="82" t="s">
        <v>44</v>
      </c>
      <c r="G97" s="82" t="s">
        <v>14</v>
      </c>
      <c r="H97" s="82" t="s">
        <v>15</v>
      </c>
      <c r="I97" s="82" t="s">
        <v>15</v>
      </c>
      <c r="J97" s="91">
        <f>+D97/E97/D97</f>
        <v>5.5555555555555558E-3</v>
      </c>
      <c r="K97" s="83">
        <f>+'Mat y mano obra'!D4</f>
        <v>21535</v>
      </c>
      <c r="L97" s="84">
        <f t="shared" si="6"/>
        <v>119.6388888888889</v>
      </c>
      <c r="O97" s="177"/>
    </row>
    <row r="98" spans="1:15" ht="15.75" thickBot="1" x14ac:dyDescent="0.3">
      <c r="A98" s="176"/>
      <c r="B98" s="86"/>
      <c r="C98" s="87" t="s">
        <v>49</v>
      </c>
      <c r="D98" s="88"/>
      <c r="E98" s="88"/>
      <c r="F98" s="88"/>
      <c r="G98" s="88"/>
      <c r="H98" s="88"/>
      <c r="I98" s="88" t="s">
        <v>26</v>
      </c>
      <c r="J98" s="88">
        <v>57</v>
      </c>
      <c r="K98" s="89" t="s">
        <v>27</v>
      </c>
      <c r="L98" s="90">
        <f>+(L94+L95+L97)*J98%</f>
        <v>337.40516666666662</v>
      </c>
      <c r="O98" s="177"/>
    </row>
    <row r="99" spans="1:15" x14ac:dyDescent="0.25">
      <c r="A99" s="176"/>
      <c r="O99" s="177"/>
    </row>
    <row r="100" spans="1:15" ht="15.75" thickBot="1" x14ac:dyDescent="0.3">
      <c r="A100" s="176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O100" s="177"/>
    </row>
    <row r="101" spans="1:15" x14ac:dyDescent="0.25">
      <c r="A101" s="176"/>
      <c r="B101" s="66" t="s">
        <v>0</v>
      </c>
      <c r="C101" s="67" t="s">
        <v>1</v>
      </c>
      <c r="D101" s="68"/>
      <c r="E101" s="68"/>
      <c r="F101" s="68"/>
      <c r="G101" s="68"/>
      <c r="H101" s="68"/>
      <c r="I101" s="67" t="s">
        <v>5</v>
      </c>
      <c r="J101" s="67" t="s">
        <v>6</v>
      </c>
      <c r="K101" s="67" t="s">
        <v>7</v>
      </c>
      <c r="L101" s="69" t="s">
        <v>8</v>
      </c>
      <c r="O101" s="177"/>
    </row>
    <row r="102" spans="1:15" ht="15.75" thickBot="1" x14ac:dyDescent="0.3">
      <c r="A102" s="176"/>
      <c r="B102" s="70"/>
      <c r="C102" s="71" t="s">
        <v>78</v>
      </c>
      <c r="D102" s="64"/>
      <c r="E102" s="64"/>
      <c r="F102" s="64"/>
      <c r="G102" s="64"/>
      <c r="H102" s="64"/>
      <c r="I102" s="72" t="s">
        <v>44</v>
      </c>
      <c r="J102" s="72">
        <v>1</v>
      </c>
      <c r="K102" s="65"/>
      <c r="L102" s="73">
        <f>+SUM(L104:L112)</f>
        <v>1850.5362179487183</v>
      </c>
      <c r="O102" s="177"/>
    </row>
    <row r="103" spans="1:15" x14ac:dyDescent="0.25">
      <c r="A103" s="176"/>
      <c r="B103" s="74"/>
      <c r="C103" s="75" t="s">
        <v>62</v>
      </c>
      <c r="D103" s="76"/>
      <c r="E103" s="185">
        <f>+rendimiento!C16</f>
        <v>52</v>
      </c>
      <c r="F103" s="76"/>
      <c r="G103" s="76"/>
      <c r="H103" s="76"/>
      <c r="I103" s="77"/>
      <c r="J103" s="77"/>
      <c r="K103" s="78"/>
      <c r="L103" s="79"/>
      <c r="O103" s="177"/>
    </row>
    <row r="104" spans="1:15" x14ac:dyDescent="0.25">
      <c r="A104" s="176"/>
      <c r="B104" s="80"/>
      <c r="C104" s="81" t="s">
        <v>63</v>
      </c>
      <c r="D104" s="82"/>
      <c r="E104" s="82"/>
      <c r="F104" s="82"/>
      <c r="G104" s="82"/>
      <c r="H104" s="82"/>
      <c r="I104" s="82" t="s">
        <v>44</v>
      </c>
      <c r="J104" s="82">
        <v>1.1000000000000001</v>
      </c>
      <c r="K104" s="83">
        <f>+'Mat y mano obra'!D26+0.33*J104*'APU DT-18'!C13</f>
        <v>650</v>
      </c>
      <c r="L104" s="84">
        <f>+K104*J104</f>
        <v>715.00000000000011</v>
      </c>
      <c r="O104" s="177"/>
    </row>
    <row r="105" spans="1:15" x14ac:dyDescent="0.25">
      <c r="A105" s="176"/>
      <c r="B105" s="80"/>
      <c r="C105" s="81" t="s">
        <v>64</v>
      </c>
      <c r="D105" s="82"/>
      <c r="E105" s="82"/>
      <c r="F105" s="82"/>
      <c r="G105" s="82"/>
      <c r="H105" s="82"/>
      <c r="I105" s="163" t="s">
        <v>44</v>
      </c>
      <c r="J105" s="163">
        <v>0.01</v>
      </c>
      <c r="K105" s="162">
        <f>+'Mat y mano obra'!D27</f>
        <v>872</v>
      </c>
      <c r="L105" s="84">
        <f t="shared" ref="L105:L111" si="7">+K105*J105</f>
        <v>8.7200000000000006</v>
      </c>
      <c r="O105" s="177"/>
    </row>
    <row r="106" spans="1:15" x14ac:dyDescent="0.25">
      <c r="A106" s="176"/>
      <c r="B106" s="80"/>
      <c r="C106" s="81" t="s">
        <v>28</v>
      </c>
      <c r="D106" s="82"/>
      <c r="E106" s="82"/>
      <c r="F106" s="82"/>
      <c r="G106" s="82"/>
      <c r="H106" s="82"/>
      <c r="I106" s="82"/>
      <c r="J106" s="82"/>
      <c r="K106" s="83"/>
      <c r="L106" s="84"/>
      <c r="O106" s="177"/>
    </row>
    <row r="107" spans="1:15" x14ac:dyDescent="0.25">
      <c r="A107" s="176"/>
      <c r="B107" s="80"/>
      <c r="C107" s="85" t="s">
        <v>65</v>
      </c>
      <c r="D107" s="82"/>
      <c r="E107" s="82"/>
      <c r="F107" s="82" t="s">
        <v>44</v>
      </c>
      <c r="G107" s="82" t="s">
        <v>14</v>
      </c>
      <c r="H107" s="82" t="s">
        <v>15</v>
      </c>
      <c r="I107" s="82" t="s">
        <v>15</v>
      </c>
      <c r="J107" s="91">
        <v>1.5384615384615385E-2</v>
      </c>
      <c r="K107" s="83"/>
      <c r="L107" s="84"/>
      <c r="O107" s="177"/>
    </row>
    <row r="108" spans="1:15" x14ac:dyDescent="0.25">
      <c r="A108" s="176"/>
      <c r="B108" s="80"/>
      <c r="C108" s="81" t="s">
        <v>66</v>
      </c>
      <c r="D108" s="82">
        <v>1</v>
      </c>
      <c r="E108" s="82">
        <f>+E103</f>
        <v>52</v>
      </c>
      <c r="F108" s="82" t="s">
        <v>44</v>
      </c>
      <c r="G108" s="82" t="s">
        <v>14</v>
      </c>
      <c r="H108" s="82" t="s">
        <v>35</v>
      </c>
      <c r="I108" s="82" t="s">
        <v>35</v>
      </c>
      <c r="J108" s="91">
        <f>+D108/E108/D108</f>
        <v>1.9230769230769232E-2</v>
      </c>
      <c r="K108" s="83">
        <f>+'Mat y mano obra'!D5</f>
        <v>16492</v>
      </c>
      <c r="L108" s="84">
        <f>+K108*J108</f>
        <v>317.15384615384619</v>
      </c>
      <c r="O108" s="177"/>
    </row>
    <row r="109" spans="1:15" x14ac:dyDescent="0.25">
      <c r="A109" s="176"/>
      <c r="B109" s="80"/>
      <c r="C109" s="81" t="s">
        <v>67</v>
      </c>
      <c r="D109" s="82">
        <v>1</v>
      </c>
      <c r="E109" s="82">
        <f>+E103</f>
        <v>52</v>
      </c>
      <c r="F109" s="82" t="s">
        <v>44</v>
      </c>
      <c r="G109" s="82" t="s">
        <v>14</v>
      </c>
      <c r="H109" s="82" t="s">
        <v>35</v>
      </c>
      <c r="I109" s="82" t="s">
        <v>35</v>
      </c>
      <c r="J109" s="91">
        <f>+D109/E109/D109</f>
        <v>1.9230769230769232E-2</v>
      </c>
      <c r="K109" s="83">
        <f>+'Mat y mano obra'!D7</f>
        <v>11846</v>
      </c>
      <c r="L109" s="84">
        <f t="shared" si="7"/>
        <v>227.80769230769232</v>
      </c>
      <c r="O109" s="177"/>
    </row>
    <row r="110" spans="1:15" x14ac:dyDescent="0.25">
      <c r="A110" s="176"/>
      <c r="B110" s="80"/>
      <c r="C110" s="81" t="s">
        <v>68</v>
      </c>
      <c r="D110" s="82"/>
      <c r="E110" s="82"/>
      <c r="F110" s="82"/>
      <c r="G110" s="82"/>
      <c r="H110" s="82"/>
      <c r="I110" s="82" t="s">
        <v>26</v>
      </c>
      <c r="J110" s="172">
        <v>10</v>
      </c>
      <c r="K110" s="83"/>
      <c r="L110" s="84">
        <f>+SUM(L108:L109)*J110%</f>
        <v>54.496153846153859</v>
      </c>
      <c r="O110" s="177"/>
    </row>
    <row r="111" spans="1:15" x14ac:dyDescent="0.25">
      <c r="A111" s="176"/>
      <c r="B111" s="80"/>
      <c r="C111" s="81" t="s">
        <v>69</v>
      </c>
      <c r="D111" s="82">
        <v>3</v>
      </c>
      <c r="E111" s="82">
        <f>+D111*E103</f>
        <v>156</v>
      </c>
      <c r="F111" s="82" t="s">
        <v>44</v>
      </c>
      <c r="G111" s="82" t="s">
        <v>14</v>
      </c>
      <c r="H111" s="82" t="s">
        <v>15</v>
      </c>
      <c r="I111" s="82" t="s">
        <v>15</v>
      </c>
      <c r="J111" s="91">
        <f>+D111/E111/D111</f>
        <v>6.4102564102564109E-3</v>
      </c>
      <c r="K111" s="83">
        <f>+'Mat y mano obra'!D4</f>
        <v>21535</v>
      </c>
      <c r="L111" s="84">
        <f t="shared" si="7"/>
        <v>138.0448717948718</v>
      </c>
      <c r="O111" s="177"/>
    </row>
    <row r="112" spans="1:15" ht="15.75" thickBot="1" x14ac:dyDescent="0.3">
      <c r="A112" s="176"/>
      <c r="B112" s="86"/>
      <c r="C112" s="87" t="s">
        <v>49</v>
      </c>
      <c r="D112" s="88"/>
      <c r="E112" s="88"/>
      <c r="F112" s="88"/>
      <c r="G112" s="88"/>
      <c r="H112" s="88"/>
      <c r="I112" s="88" t="s">
        <v>26</v>
      </c>
      <c r="J112" s="88">
        <v>57</v>
      </c>
      <c r="K112" s="89" t="s">
        <v>27</v>
      </c>
      <c r="L112" s="90">
        <f>+(L108+L109+L111)*J112%</f>
        <v>389.3136538461539</v>
      </c>
      <c r="O112" s="177"/>
    </row>
    <row r="113" spans="1:15" ht="15.75" thickBot="1" x14ac:dyDescent="0.3">
      <c r="A113" s="178"/>
      <c r="B113" s="179"/>
      <c r="C113" s="180"/>
      <c r="D113" s="179"/>
      <c r="E113" s="179"/>
      <c r="F113" s="179"/>
      <c r="G113" s="179"/>
      <c r="H113" s="179"/>
      <c r="I113" s="179"/>
      <c r="J113" s="179"/>
      <c r="K113" s="181"/>
      <c r="L113" s="182"/>
      <c r="M113" s="183"/>
      <c r="N113" s="183"/>
      <c r="O113" s="184"/>
    </row>
    <row r="114" spans="1:15" ht="15.75" thickBot="1" x14ac:dyDescent="0.3">
      <c r="B114" s="93"/>
      <c r="C114" s="94"/>
      <c r="D114" s="93"/>
      <c r="E114" s="93"/>
      <c r="F114" s="93"/>
      <c r="G114" s="93"/>
      <c r="H114" s="93"/>
      <c r="I114" s="93"/>
      <c r="J114" s="93"/>
      <c r="K114" s="95"/>
      <c r="L114" s="96"/>
    </row>
    <row r="115" spans="1:15" x14ac:dyDescent="0.25">
      <c r="B115" s="66" t="s">
        <v>0</v>
      </c>
      <c r="C115" s="67" t="s">
        <v>1</v>
      </c>
      <c r="D115" s="68"/>
      <c r="E115" s="68"/>
      <c r="F115" s="68"/>
      <c r="G115" s="68"/>
      <c r="H115" s="68"/>
      <c r="I115" s="67" t="s">
        <v>5</v>
      </c>
      <c r="J115" s="67" t="s">
        <v>6</v>
      </c>
      <c r="K115" s="67" t="s">
        <v>7</v>
      </c>
      <c r="L115" s="69" t="s">
        <v>8</v>
      </c>
    </row>
    <row r="116" spans="1:15" ht="15.75" thickBot="1" x14ac:dyDescent="0.3">
      <c r="B116" s="70"/>
      <c r="C116" s="71" t="s">
        <v>80</v>
      </c>
      <c r="D116" s="64"/>
      <c r="E116" s="64"/>
      <c r="F116" s="64"/>
      <c r="G116" s="64"/>
      <c r="H116" s="64"/>
      <c r="I116" s="72" t="s">
        <v>79</v>
      </c>
      <c r="J116" s="72">
        <v>1</v>
      </c>
      <c r="K116" s="65"/>
      <c r="L116" s="73">
        <f>+SUM(L118:L126)</f>
        <v>2781.9099871794874</v>
      </c>
    </row>
    <row r="117" spans="1:15" x14ac:dyDescent="0.25">
      <c r="B117" s="74"/>
      <c r="C117" s="75" t="s">
        <v>62</v>
      </c>
      <c r="D117" s="76"/>
      <c r="E117" s="185">
        <f>+rendimiento!C17</f>
        <v>52</v>
      </c>
      <c r="F117" s="76"/>
      <c r="G117" s="76"/>
      <c r="H117" s="76"/>
      <c r="I117" s="77"/>
      <c r="J117" s="77"/>
      <c r="K117" s="78"/>
      <c r="L117" s="79"/>
    </row>
    <row r="118" spans="1:15" x14ac:dyDescent="0.25">
      <c r="B118" s="80"/>
      <c r="C118" s="81" t="s">
        <v>80</v>
      </c>
      <c r="D118" s="82">
        <v>1</v>
      </c>
      <c r="E118" s="82">
        <v>13</v>
      </c>
      <c r="F118" s="82"/>
      <c r="G118" s="82"/>
      <c r="H118" s="91"/>
      <c r="I118" s="82" t="s">
        <v>73</v>
      </c>
      <c r="J118" s="92">
        <f>+D118/E118/D118</f>
        <v>7.6923076923076927E-2</v>
      </c>
      <c r="K118" s="162">
        <f>+'Mat y mano obra'!D28+0.33*28.34*'APU DT-18'!C13</f>
        <v>22392</v>
      </c>
      <c r="L118" s="84">
        <f>+K118*J118</f>
        <v>1722.4615384615386</v>
      </c>
    </row>
    <row r="119" spans="1:15" x14ac:dyDescent="0.25">
      <c r="B119" s="80"/>
      <c r="C119" s="81" t="s">
        <v>64</v>
      </c>
      <c r="D119" s="82"/>
      <c r="E119" s="82"/>
      <c r="F119" s="82"/>
      <c r="G119" s="82"/>
      <c r="H119" s="82"/>
      <c r="I119" s="163" t="s">
        <v>44</v>
      </c>
      <c r="J119" s="163">
        <v>0.01</v>
      </c>
      <c r="K119" s="162">
        <f>+'Mat y mano obra'!D27</f>
        <v>872</v>
      </c>
      <c r="L119" s="84">
        <f t="shared" ref="L119:L125" si="8">+K119*J119</f>
        <v>8.7200000000000006</v>
      </c>
    </row>
    <row r="120" spans="1:15" x14ac:dyDescent="0.25">
      <c r="B120" s="80"/>
      <c r="C120" s="81" t="s">
        <v>28</v>
      </c>
      <c r="D120" s="82"/>
      <c r="E120" s="82"/>
      <c r="F120" s="82"/>
      <c r="G120" s="82"/>
      <c r="H120" s="82"/>
      <c r="I120" s="82"/>
      <c r="J120" s="82"/>
      <c r="K120" s="83"/>
      <c r="L120" s="84"/>
    </row>
    <row r="121" spans="1:15" x14ac:dyDescent="0.25">
      <c r="B121" s="80"/>
      <c r="C121" s="85" t="s">
        <v>65</v>
      </c>
      <c r="D121" s="82"/>
      <c r="E121" s="82"/>
      <c r="F121" s="82" t="s">
        <v>79</v>
      </c>
      <c r="G121" s="82" t="s">
        <v>14</v>
      </c>
      <c r="H121" s="82" t="s">
        <v>15</v>
      </c>
      <c r="I121" s="82" t="s">
        <v>15</v>
      </c>
      <c r="J121" s="91"/>
      <c r="K121" s="83"/>
      <c r="L121" s="84"/>
    </row>
    <row r="122" spans="1:15" x14ac:dyDescent="0.25">
      <c r="B122" s="80"/>
      <c r="C122" s="81" t="s">
        <v>66</v>
      </c>
      <c r="D122" s="82">
        <v>1</v>
      </c>
      <c r="E122" s="82">
        <f>+E117</f>
        <v>52</v>
      </c>
      <c r="F122" s="82" t="s">
        <v>79</v>
      </c>
      <c r="G122" s="82" t="s">
        <v>14</v>
      </c>
      <c r="H122" s="82" t="s">
        <v>35</v>
      </c>
      <c r="I122" s="82" t="s">
        <v>35</v>
      </c>
      <c r="J122" s="91">
        <f>+D122/E122/D122</f>
        <v>1.9230769230769232E-2</v>
      </c>
      <c r="K122" s="83">
        <f>+'Mat y mano obra'!D5</f>
        <v>16492</v>
      </c>
      <c r="L122" s="84">
        <f t="shared" si="8"/>
        <v>317.15384615384619</v>
      </c>
    </row>
    <row r="123" spans="1:15" x14ac:dyDescent="0.25">
      <c r="B123" s="80"/>
      <c r="C123" s="81" t="s">
        <v>67</v>
      </c>
      <c r="D123" s="82">
        <v>1</v>
      </c>
      <c r="E123" s="82">
        <v>65</v>
      </c>
      <c r="F123" s="82" t="s">
        <v>79</v>
      </c>
      <c r="G123" s="82" t="s">
        <v>14</v>
      </c>
      <c r="H123" s="82" t="s">
        <v>35</v>
      </c>
      <c r="I123" s="82" t="s">
        <v>35</v>
      </c>
      <c r="J123" s="91">
        <f>+D123/E123/D123</f>
        <v>1.5384615384615385E-2</v>
      </c>
      <c r="K123" s="83">
        <f>+'Mat y mano obra'!D7</f>
        <v>11846</v>
      </c>
      <c r="L123" s="84">
        <f t="shared" si="8"/>
        <v>182.24615384615385</v>
      </c>
    </row>
    <row r="124" spans="1:15" x14ac:dyDescent="0.25">
      <c r="B124" s="80"/>
      <c r="C124" s="81" t="s">
        <v>68</v>
      </c>
      <c r="D124" s="82"/>
      <c r="E124" s="82"/>
      <c r="F124" s="82"/>
      <c r="G124" s="82"/>
      <c r="H124" s="82"/>
      <c r="I124" s="82" t="s">
        <v>26</v>
      </c>
      <c r="J124" s="172">
        <v>10</v>
      </c>
      <c r="K124" s="83"/>
      <c r="L124" s="84">
        <f>+SUM(L122:L123)*J124%</f>
        <v>49.940000000000005</v>
      </c>
    </row>
    <row r="125" spans="1:15" x14ac:dyDescent="0.25">
      <c r="B125" s="80"/>
      <c r="C125" s="81" t="s">
        <v>69</v>
      </c>
      <c r="D125" s="82">
        <v>3</v>
      </c>
      <c r="E125" s="82">
        <f>+E117*D125</f>
        <v>156</v>
      </c>
      <c r="F125" s="82" t="s">
        <v>79</v>
      </c>
      <c r="G125" s="82" t="s">
        <v>14</v>
      </c>
      <c r="H125" s="82" t="s">
        <v>15</v>
      </c>
      <c r="I125" s="82" t="s">
        <v>15</v>
      </c>
      <c r="J125" s="91">
        <f>+D125/E125/D125</f>
        <v>6.4102564102564109E-3</v>
      </c>
      <c r="K125" s="83">
        <f>+'Mat y mano obra'!D4</f>
        <v>21535</v>
      </c>
      <c r="L125" s="84">
        <f t="shared" si="8"/>
        <v>138.0448717948718</v>
      </c>
    </row>
    <row r="126" spans="1:15" ht="15.75" thickBot="1" x14ac:dyDescent="0.3">
      <c r="B126" s="86"/>
      <c r="C126" s="87" t="s">
        <v>49</v>
      </c>
      <c r="D126" s="88"/>
      <c r="E126" s="88"/>
      <c r="F126" s="88"/>
      <c r="G126" s="88"/>
      <c r="H126" s="88"/>
      <c r="I126" s="88" t="s">
        <v>26</v>
      </c>
      <c r="J126" s="88">
        <v>57</v>
      </c>
      <c r="K126" s="89" t="s">
        <v>27</v>
      </c>
      <c r="L126" s="90">
        <f>+(L122+L123+L125)*J126%</f>
        <v>363.34357692307691</v>
      </c>
    </row>
    <row r="128" spans="1:15" ht="15.75" thickBot="1" x14ac:dyDescent="0.3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</row>
    <row r="129" spans="2:12" x14ac:dyDescent="0.25">
      <c r="B129" s="66" t="s">
        <v>0</v>
      </c>
      <c r="C129" s="67" t="s">
        <v>1</v>
      </c>
      <c r="D129" s="68"/>
      <c r="E129" s="68"/>
      <c r="F129" s="68"/>
      <c r="G129" s="68"/>
      <c r="H129" s="68"/>
      <c r="I129" s="67" t="s">
        <v>5</v>
      </c>
      <c r="J129" s="67" t="s">
        <v>6</v>
      </c>
      <c r="K129" s="67" t="s">
        <v>7</v>
      </c>
      <c r="L129" s="69" t="s">
        <v>8</v>
      </c>
    </row>
    <row r="130" spans="2:12" ht="15.75" thickBot="1" x14ac:dyDescent="0.3">
      <c r="B130" s="70"/>
      <c r="C130" s="71" t="s">
        <v>81</v>
      </c>
      <c r="D130" s="64"/>
      <c r="E130" s="64"/>
      <c r="F130" s="64"/>
      <c r="G130" s="64"/>
      <c r="H130" s="64"/>
      <c r="I130" s="72" t="s">
        <v>79</v>
      </c>
      <c r="J130" s="72">
        <v>1</v>
      </c>
      <c r="K130" s="65"/>
      <c r="L130" s="73">
        <f>+SUM(L132:L140)</f>
        <v>3466.9869102564103</v>
      </c>
    </row>
    <row r="131" spans="2:12" x14ac:dyDescent="0.25">
      <c r="B131" s="74"/>
      <c r="C131" s="75" t="s">
        <v>62</v>
      </c>
      <c r="D131" s="76"/>
      <c r="E131" s="185">
        <f>+rendimiento!C18</f>
        <v>52</v>
      </c>
      <c r="F131" s="76"/>
      <c r="G131" s="76"/>
      <c r="H131" s="76"/>
      <c r="I131" s="77"/>
      <c r="J131" s="77"/>
      <c r="K131" s="78"/>
      <c r="L131" s="79"/>
    </row>
    <row r="132" spans="2:12" x14ac:dyDescent="0.25">
      <c r="B132" s="80"/>
      <c r="C132" s="81" t="s">
        <v>81</v>
      </c>
      <c r="D132" s="82">
        <v>1</v>
      </c>
      <c r="E132" s="82">
        <v>13</v>
      </c>
      <c r="F132" s="82"/>
      <c r="G132" s="82"/>
      <c r="H132" s="82"/>
      <c r="I132" s="82" t="s">
        <v>73</v>
      </c>
      <c r="J132" s="92">
        <f>+D132/E132/D132</f>
        <v>7.6923076923076927E-2</v>
      </c>
      <c r="K132" s="162">
        <f>+'Mat y mano obra'!D29+28.34*0.33*'APU DT-18'!C13</f>
        <v>31298</v>
      </c>
      <c r="L132" s="84">
        <f>+K132*J132</f>
        <v>2407.5384615384619</v>
      </c>
    </row>
    <row r="133" spans="2:12" x14ac:dyDescent="0.25">
      <c r="B133" s="80"/>
      <c r="C133" s="81" t="s">
        <v>64</v>
      </c>
      <c r="D133" s="82"/>
      <c r="E133" s="82"/>
      <c r="F133" s="82"/>
      <c r="G133" s="82"/>
      <c r="H133" s="82"/>
      <c r="I133" s="163" t="s">
        <v>44</v>
      </c>
      <c r="J133" s="163">
        <v>0.01</v>
      </c>
      <c r="K133" s="162">
        <f>+'Mat y mano obra'!D27</f>
        <v>872</v>
      </c>
      <c r="L133" s="84">
        <f t="shared" ref="L133:L139" si="9">+K133*J133</f>
        <v>8.7200000000000006</v>
      </c>
    </row>
    <row r="134" spans="2:12" x14ac:dyDescent="0.25">
      <c r="B134" s="80"/>
      <c r="C134" s="81" t="s">
        <v>28</v>
      </c>
      <c r="D134" s="82"/>
      <c r="E134" s="82"/>
      <c r="F134" s="82"/>
      <c r="G134" s="82"/>
      <c r="H134" s="82"/>
      <c r="I134" s="82"/>
      <c r="J134" s="82"/>
      <c r="K134" s="83"/>
      <c r="L134" s="84"/>
    </row>
    <row r="135" spans="2:12" x14ac:dyDescent="0.25">
      <c r="B135" s="80"/>
      <c r="C135" s="85" t="s">
        <v>65</v>
      </c>
      <c r="D135" s="82"/>
      <c r="E135" s="82"/>
      <c r="F135" s="82" t="s">
        <v>79</v>
      </c>
      <c r="G135" s="82" t="s">
        <v>14</v>
      </c>
      <c r="H135" s="82" t="s">
        <v>15</v>
      </c>
      <c r="I135" s="82" t="s">
        <v>15</v>
      </c>
      <c r="J135" s="91"/>
      <c r="K135" s="83"/>
      <c r="L135" s="84"/>
    </row>
    <row r="136" spans="2:12" x14ac:dyDescent="0.25">
      <c r="B136" s="80"/>
      <c r="C136" s="81" t="s">
        <v>66</v>
      </c>
      <c r="D136" s="82">
        <v>1</v>
      </c>
      <c r="E136" s="82">
        <f>+E131</f>
        <v>52</v>
      </c>
      <c r="F136" s="82" t="s">
        <v>79</v>
      </c>
      <c r="G136" s="82" t="s">
        <v>14</v>
      </c>
      <c r="H136" s="82" t="s">
        <v>35</v>
      </c>
      <c r="I136" s="82" t="s">
        <v>35</v>
      </c>
      <c r="J136" s="91">
        <f>+D136/E136/D136</f>
        <v>1.9230769230769232E-2</v>
      </c>
      <c r="K136" s="83">
        <f>+'Mat y mano obra'!D5</f>
        <v>16492</v>
      </c>
      <c r="L136" s="84">
        <f t="shared" si="9"/>
        <v>317.15384615384619</v>
      </c>
    </row>
    <row r="137" spans="2:12" x14ac:dyDescent="0.25">
      <c r="B137" s="80"/>
      <c r="C137" s="81" t="s">
        <v>67</v>
      </c>
      <c r="D137" s="82">
        <v>1</v>
      </c>
      <c r="E137" s="82">
        <v>65</v>
      </c>
      <c r="F137" s="82" t="s">
        <v>79</v>
      </c>
      <c r="G137" s="82" t="s">
        <v>14</v>
      </c>
      <c r="H137" s="82" t="s">
        <v>35</v>
      </c>
      <c r="I137" s="82" t="s">
        <v>35</v>
      </c>
      <c r="J137" s="91">
        <f>+D137/E137/D137</f>
        <v>1.5384615384615385E-2</v>
      </c>
      <c r="K137" s="83">
        <f>+'Mat y mano obra'!D7</f>
        <v>11846</v>
      </c>
      <c r="L137" s="84">
        <f t="shared" si="9"/>
        <v>182.24615384615385</v>
      </c>
    </row>
    <row r="138" spans="2:12" x14ac:dyDescent="0.25">
      <c r="B138" s="80"/>
      <c r="C138" s="81" t="s">
        <v>68</v>
      </c>
      <c r="D138" s="82"/>
      <c r="E138" s="82"/>
      <c r="F138" s="82"/>
      <c r="G138" s="82"/>
      <c r="H138" s="82"/>
      <c r="I138" s="82" t="s">
        <v>26</v>
      </c>
      <c r="J138" s="172">
        <v>10</v>
      </c>
      <c r="K138" s="83"/>
      <c r="L138" s="84">
        <f>+SUM(L136:L137)*J138%</f>
        <v>49.940000000000005</v>
      </c>
    </row>
    <row r="139" spans="2:12" x14ac:dyDescent="0.25">
      <c r="B139" s="80"/>
      <c r="C139" s="81" t="s">
        <v>69</v>
      </c>
      <c r="D139" s="82">
        <v>3</v>
      </c>
      <c r="E139" s="82">
        <f>+E131*D139</f>
        <v>156</v>
      </c>
      <c r="F139" s="82" t="s">
        <v>79</v>
      </c>
      <c r="G139" s="82" t="s">
        <v>14</v>
      </c>
      <c r="H139" s="82" t="s">
        <v>15</v>
      </c>
      <c r="I139" s="82" t="s">
        <v>15</v>
      </c>
      <c r="J139" s="91">
        <f>+D139/E139/D139</f>
        <v>6.4102564102564109E-3</v>
      </c>
      <c r="K139" s="83">
        <f>+'Mat y mano obra'!D4</f>
        <v>21535</v>
      </c>
      <c r="L139" s="84">
        <f t="shared" si="9"/>
        <v>138.0448717948718</v>
      </c>
    </row>
    <row r="140" spans="2:12" ht="15.75" thickBot="1" x14ac:dyDescent="0.3">
      <c r="B140" s="86"/>
      <c r="C140" s="87" t="s">
        <v>49</v>
      </c>
      <c r="D140" s="88"/>
      <c r="E140" s="88"/>
      <c r="F140" s="88"/>
      <c r="G140" s="88"/>
      <c r="H140" s="88"/>
      <c r="I140" s="88" t="s">
        <v>26</v>
      </c>
      <c r="J140" s="88">
        <v>57</v>
      </c>
      <c r="K140" s="89" t="s">
        <v>27</v>
      </c>
      <c r="L140" s="90">
        <f>+(L136+L137+L139)*J140%</f>
        <v>363.34357692307691</v>
      </c>
    </row>
    <row r="142" spans="2:12" ht="15.75" thickBot="1" x14ac:dyDescent="0.3"/>
    <row r="143" spans="2:12" x14ac:dyDescent="0.25">
      <c r="B143" s="66" t="s">
        <v>0</v>
      </c>
      <c r="C143" s="67" t="s">
        <v>1</v>
      </c>
      <c r="D143" s="68"/>
      <c r="E143" s="68"/>
      <c r="F143" s="68"/>
      <c r="G143" s="68"/>
      <c r="H143" s="68"/>
      <c r="I143" s="67" t="s">
        <v>5</v>
      </c>
      <c r="J143" s="67" t="s">
        <v>6</v>
      </c>
      <c r="K143" s="67" t="s">
        <v>7</v>
      </c>
      <c r="L143" s="69" t="s">
        <v>8</v>
      </c>
    </row>
    <row r="144" spans="2:12" ht="15.75" thickBot="1" x14ac:dyDescent="0.3">
      <c r="B144" s="70"/>
      <c r="C144" s="71" t="s">
        <v>82</v>
      </c>
      <c r="D144" s="64"/>
      <c r="E144" s="64"/>
      <c r="F144" s="64"/>
      <c r="G144" s="64"/>
      <c r="H144" s="64"/>
      <c r="I144" s="72" t="s">
        <v>79</v>
      </c>
      <c r="J144" s="72">
        <v>1</v>
      </c>
      <c r="K144" s="65"/>
      <c r="L144" s="73">
        <f>+SUM(L146:L154)</f>
        <v>4523.6022948717955</v>
      </c>
    </row>
    <row r="145" spans="2:12" x14ac:dyDescent="0.25">
      <c r="B145" s="74"/>
      <c r="C145" s="75" t="s">
        <v>62</v>
      </c>
      <c r="D145" s="76"/>
      <c r="E145" s="185">
        <f>+rendimiento!C19</f>
        <v>52</v>
      </c>
      <c r="F145" s="76"/>
      <c r="G145" s="76"/>
      <c r="H145" s="76"/>
      <c r="I145" s="77"/>
      <c r="J145" s="77"/>
      <c r="K145" s="78"/>
      <c r="L145" s="79"/>
    </row>
    <row r="146" spans="2:12" x14ac:dyDescent="0.25">
      <c r="B146" s="80"/>
      <c r="C146" s="81" t="s">
        <v>82</v>
      </c>
      <c r="D146" s="82">
        <v>1</v>
      </c>
      <c r="E146" s="82">
        <v>13</v>
      </c>
      <c r="F146" s="82"/>
      <c r="G146" s="82"/>
      <c r="H146" s="82"/>
      <c r="I146" s="82" t="s">
        <v>73</v>
      </c>
      <c r="J146" s="92">
        <f>+D146/E146/D146</f>
        <v>7.6923076923076927E-2</v>
      </c>
      <c r="K146" s="162">
        <f>+'Mat y mano obra'!D30+39.03*0.33*'APU DT-18'!C13</f>
        <v>45034</v>
      </c>
      <c r="L146" s="84">
        <f>+K146*J146</f>
        <v>3464.1538461538462</v>
      </c>
    </row>
    <row r="147" spans="2:12" x14ac:dyDescent="0.25">
      <c r="B147" s="80"/>
      <c r="C147" s="81" t="s">
        <v>64</v>
      </c>
      <c r="D147" s="82"/>
      <c r="E147" s="82"/>
      <c r="F147" s="82"/>
      <c r="G147" s="82"/>
      <c r="H147" s="82"/>
      <c r="I147" s="163" t="s">
        <v>44</v>
      </c>
      <c r="J147" s="163">
        <v>0.01</v>
      </c>
      <c r="K147" s="162">
        <f>+'Mat y mano obra'!D27</f>
        <v>872</v>
      </c>
      <c r="L147" s="84">
        <f t="shared" ref="L147:L153" si="10">+K147*J147</f>
        <v>8.7200000000000006</v>
      </c>
    </row>
    <row r="148" spans="2:12" x14ac:dyDescent="0.25">
      <c r="B148" s="80"/>
      <c r="C148" s="81" t="s">
        <v>28</v>
      </c>
      <c r="D148" s="82"/>
      <c r="E148" s="82"/>
      <c r="F148" s="82"/>
      <c r="G148" s="82"/>
      <c r="H148" s="82"/>
      <c r="I148" s="82"/>
      <c r="J148" s="82"/>
      <c r="K148" s="83"/>
      <c r="L148" s="84"/>
    </row>
    <row r="149" spans="2:12" x14ac:dyDescent="0.25">
      <c r="B149" s="80"/>
      <c r="C149" s="85" t="s">
        <v>65</v>
      </c>
      <c r="D149" s="82"/>
      <c r="E149" s="82"/>
      <c r="F149" s="82" t="s">
        <v>79</v>
      </c>
      <c r="G149" s="82" t="s">
        <v>14</v>
      </c>
      <c r="H149" s="82" t="s">
        <v>15</v>
      </c>
      <c r="I149" s="82" t="s">
        <v>15</v>
      </c>
      <c r="J149" s="91"/>
      <c r="K149" s="83"/>
      <c r="L149" s="84"/>
    </row>
    <row r="150" spans="2:12" x14ac:dyDescent="0.25">
      <c r="B150" s="80"/>
      <c r="C150" s="81" t="s">
        <v>66</v>
      </c>
      <c r="D150" s="82">
        <v>1</v>
      </c>
      <c r="E150" s="82">
        <f>+E145</f>
        <v>52</v>
      </c>
      <c r="F150" s="82" t="s">
        <v>79</v>
      </c>
      <c r="G150" s="82" t="s">
        <v>14</v>
      </c>
      <c r="H150" s="82" t="s">
        <v>35</v>
      </c>
      <c r="I150" s="82" t="s">
        <v>35</v>
      </c>
      <c r="J150" s="91">
        <f>+D150/E150/D150</f>
        <v>1.9230769230769232E-2</v>
      </c>
      <c r="K150" s="83">
        <f>+'Mat y mano obra'!D5</f>
        <v>16492</v>
      </c>
      <c r="L150" s="84">
        <f t="shared" si="10"/>
        <v>317.15384615384619</v>
      </c>
    </row>
    <row r="151" spans="2:12" x14ac:dyDescent="0.25">
      <c r="B151" s="80"/>
      <c r="C151" s="81" t="s">
        <v>67</v>
      </c>
      <c r="D151" s="82">
        <v>1</v>
      </c>
      <c r="E151" s="82">
        <v>65</v>
      </c>
      <c r="F151" s="82" t="s">
        <v>79</v>
      </c>
      <c r="G151" s="82" t="s">
        <v>14</v>
      </c>
      <c r="H151" s="82" t="s">
        <v>35</v>
      </c>
      <c r="I151" s="82" t="s">
        <v>35</v>
      </c>
      <c r="J151" s="91">
        <f>+D151/E151/D151</f>
        <v>1.5384615384615385E-2</v>
      </c>
      <c r="K151" s="83">
        <f>+'Mat y mano obra'!D7</f>
        <v>11846</v>
      </c>
      <c r="L151" s="84">
        <f t="shared" si="10"/>
        <v>182.24615384615385</v>
      </c>
    </row>
    <row r="152" spans="2:12" x14ac:dyDescent="0.25">
      <c r="B152" s="80"/>
      <c r="C152" s="81" t="s">
        <v>68</v>
      </c>
      <c r="D152" s="82"/>
      <c r="E152" s="82"/>
      <c r="F152" s="82"/>
      <c r="G152" s="82"/>
      <c r="H152" s="82"/>
      <c r="I152" s="82" t="s">
        <v>26</v>
      </c>
      <c r="J152" s="172">
        <v>10</v>
      </c>
      <c r="K152" s="83"/>
      <c r="L152" s="84">
        <f>+SUM(L150:L151)*J152%</f>
        <v>49.940000000000005</v>
      </c>
    </row>
    <row r="153" spans="2:12" x14ac:dyDescent="0.25">
      <c r="B153" s="80"/>
      <c r="C153" s="81" t="s">
        <v>69</v>
      </c>
      <c r="D153" s="82">
        <v>3</v>
      </c>
      <c r="E153" s="82">
        <f>+E145*D153</f>
        <v>156</v>
      </c>
      <c r="F153" s="82" t="s">
        <v>79</v>
      </c>
      <c r="G153" s="82" t="s">
        <v>14</v>
      </c>
      <c r="H153" s="82" t="s">
        <v>15</v>
      </c>
      <c r="I153" s="82" t="s">
        <v>15</v>
      </c>
      <c r="J153" s="91">
        <f>+D153/E153/D153</f>
        <v>6.4102564102564109E-3</v>
      </c>
      <c r="K153" s="83">
        <f>+'Mat y mano obra'!D4</f>
        <v>21535</v>
      </c>
      <c r="L153" s="84">
        <f t="shared" si="10"/>
        <v>138.0448717948718</v>
      </c>
    </row>
    <row r="154" spans="2:12" ht="15.75" thickBot="1" x14ac:dyDescent="0.3">
      <c r="B154" s="86"/>
      <c r="C154" s="87" t="s">
        <v>49</v>
      </c>
      <c r="D154" s="88"/>
      <c r="E154" s="88"/>
      <c r="F154" s="88"/>
      <c r="G154" s="88"/>
      <c r="H154" s="88"/>
      <c r="I154" s="88" t="s">
        <v>26</v>
      </c>
      <c r="J154" s="88">
        <v>57</v>
      </c>
      <c r="K154" s="89" t="s">
        <v>27</v>
      </c>
      <c r="L154" s="90">
        <f>+(L150+L151+L153)*J154%</f>
        <v>363.34357692307691</v>
      </c>
    </row>
    <row r="156" spans="2:12" ht="15.75" thickBot="1" x14ac:dyDescent="0.3"/>
    <row r="157" spans="2:12" x14ac:dyDescent="0.25">
      <c r="B157" s="66" t="s">
        <v>0</v>
      </c>
      <c r="C157" s="67" t="s">
        <v>1</v>
      </c>
      <c r="D157" s="68"/>
      <c r="E157" s="68"/>
      <c r="F157" s="68"/>
      <c r="G157" s="68"/>
      <c r="H157" s="68"/>
      <c r="I157" s="67" t="s">
        <v>5</v>
      </c>
      <c r="J157" s="67" t="s">
        <v>6</v>
      </c>
      <c r="K157" s="67" t="s">
        <v>7</v>
      </c>
      <c r="L157" s="69" t="s">
        <v>8</v>
      </c>
    </row>
    <row r="158" spans="2:12" ht="15.75" thickBot="1" x14ac:dyDescent="0.3">
      <c r="B158" s="70"/>
      <c r="C158" s="71" t="s">
        <v>128</v>
      </c>
      <c r="D158" s="64"/>
      <c r="E158" s="64"/>
      <c r="F158" s="64"/>
      <c r="G158" s="64"/>
      <c r="H158" s="64"/>
      <c r="I158" s="72" t="s">
        <v>79</v>
      </c>
      <c r="J158" s="72">
        <v>1</v>
      </c>
      <c r="K158" s="65"/>
      <c r="L158" s="73">
        <f>+SUM(L160:L168)</f>
        <v>4740.4652670419009</v>
      </c>
    </row>
    <row r="159" spans="2:12" x14ac:dyDescent="0.25">
      <c r="B159" s="74"/>
      <c r="C159" s="75" t="s">
        <v>62</v>
      </c>
      <c r="D159" s="76"/>
      <c r="E159" s="185">
        <f>+rendimiento!C20</f>
        <v>41</v>
      </c>
      <c r="F159" s="76"/>
      <c r="G159" s="76"/>
      <c r="H159" s="76"/>
      <c r="I159" s="77"/>
      <c r="J159" s="77"/>
      <c r="K159" s="78"/>
      <c r="L159" s="79"/>
    </row>
    <row r="160" spans="2:12" x14ac:dyDescent="0.25">
      <c r="B160" s="80"/>
      <c r="C160" s="81" t="s">
        <v>129</v>
      </c>
      <c r="D160" s="82">
        <v>1</v>
      </c>
      <c r="E160" s="82">
        <v>13</v>
      </c>
      <c r="F160" s="82"/>
      <c r="G160" s="82"/>
      <c r="H160" s="82"/>
      <c r="I160" s="82" t="s">
        <v>73</v>
      </c>
      <c r="J160" s="92">
        <f>+D160/E160/D160</f>
        <v>7.6923076923076927E-2</v>
      </c>
      <c r="K160" s="83">
        <f>+'Mat y mano obra'!D31+40.04*0.33*'APU DT-18'!C13</f>
        <v>45250</v>
      </c>
      <c r="L160" s="84">
        <f>+K160*J160</f>
        <v>3480.7692307692309</v>
      </c>
    </row>
    <row r="161" spans="2:12" x14ac:dyDescent="0.25">
      <c r="B161" s="80"/>
      <c r="C161" s="81" t="s">
        <v>64</v>
      </c>
      <c r="D161" s="82"/>
      <c r="E161" s="82"/>
      <c r="F161" s="82"/>
      <c r="G161" s="82"/>
      <c r="H161" s="82"/>
      <c r="I161" s="163" t="s">
        <v>44</v>
      </c>
      <c r="J161" s="163">
        <v>0.01</v>
      </c>
      <c r="K161" s="162">
        <f>+'Mat y mano obra'!D27</f>
        <v>872</v>
      </c>
      <c r="L161" s="84">
        <f t="shared" ref="L161:L167" si="11">+K161*J161</f>
        <v>8.7200000000000006</v>
      </c>
    </row>
    <row r="162" spans="2:12" x14ac:dyDescent="0.25">
      <c r="B162" s="80"/>
      <c r="C162" s="81" t="s">
        <v>28</v>
      </c>
      <c r="D162" s="82"/>
      <c r="E162" s="82"/>
      <c r="F162" s="82"/>
      <c r="G162" s="82"/>
      <c r="H162" s="82"/>
      <c r="I162" s="82"/>
      <c r="J162" s="82"/>
      <c r="K162" s="83"/>
      <c r="L162" s="84"/>
    </row>
    <row r="163" spans="2:12" x14ac:dyDescent="0.25">
      <c r="B163" s="80"/>
      <c r="C163" s="85" t="s">
        <v>65</v>
      </c>
      <c r="D163" s="82"/>
      <c r="E163" s="82"/>
      <c r="F163" s="82" t="s">
        <v>79</v>
      </c>
      <c r="G163" s="82" t="s">
        <v>14</v>
      </c>
      <c r="H163" s="82" t="s">
        <v>15</v>
      </c>
      <c r="I163" s="82" t="s">
        <v>15</v>
      </c>
      <c r="J163" s="91"/>
      <c r="K163" s="83"/>
      <c r="L163" s="84"/>
    </row>
    <row r="164" spans="2:12" x14ac:dyDescent="0.25">
      <c r="B164" s="80"/>
      <c r="C164" s="81" t="s">
        <v>66</v>
      </c>
      <c r="D164" s="82">
        <v>1</v>
      </c>
      <c r="E164" s="82">
        <f>+E159</f>
        <v>41</v>
      </c>
      <c r="F164" s="82" t="s">
        <v>79</v>
      </c>
      <c r="G164" s="82" t="s">
        <v>14</v>
      </c>
      <c r="H164" s="82" t="s">
        <v>35</v>
      </c>
      <c r="I164" s="82" t="s">
        <v>35</v>
      </c>
      <c r="J164" s="91">
        <f>+D164/E164/D164</f>
        <v>2.4390243902439025E-2</v>
      </c>
      <c r="K164" s="83">
        <f>+'Mat y mano obra'!D5</f>
        <v>16492</v>
      </c>
      <c r="L164" s="84">
        <f t="shared" si="11"/>
        <v>402.2439024390244</v>
      </c>
    </row>
    <row r="165" spans="2:12" x14ac:dyDescent="0.25">
      <c r="B165" s="80"/>
      <c r="C165" s="81" t="s">
        <v>67</v>
      </c>
      <c r="D165" s="82">
        <v>1</v>
      </c>
      <c r="E165" s="82">
        <v>65</v>
      </c>
      <c r="F165" s="82" t="s">
        <v>79</v>
      </c>
      <c r="G165" s="82" t="s">
        <v>14</v>
      </c>
      <c r="H165" s="82" t="s">
        <v>35</v>
      </c>
      <c r="I165" s="82" t="s">
        <v>35</v>
      </c>
      <c r="J165" s="91">
        <f>+D165/E165/D165</f>
        <v>1.5384615384615385E-2</v>
      </c>
      <c r="K165" s="83">
        <f>+'Mat y mano obra'!D7</f>
        <v>11846</v>
      </c>
      <c r="L165" s="84">
        <f t="shared" si="11"/>
        <v>182.24615384615385</v>
      </c>
    </row>
    <row r="166" spans="2:12" x14ac:dyDescent="0.25">
      <c r="B166" s="80"/>
      <c r="C166" s="81" t="s">
        <v>68</v>
      </c>
      <c r="D166" s="82"/>
      <c r="E166" s="82"/>
      <c r="F166" s="82"/>
      <c r="G166" s="82"/>
      <c r="H166" s="82"/>
      <c r="I166" s="82" t="s">
        <v>26</v>
      </c>
      <c r="J166" s="172">
        <v>10</v>
      </c>
      <c r="K166" s="83"/>
      <c r="L166" s="84">
        <f>+SUM(L164:L165)*J166%</f>
        <v>58.449005628517831</v>
      </c>
    </row>
    <row r="167" spans="2:12" x14ac:dyDescent="0.25">
      <c r="B167" s="80"/>
      <c r="C167" s="81" t="s">
        <v>69</v>
      </c>
      <c r="D167" s="82">
        <v>3</v>
      </c>
      <c r="E167" s="82">
        <f>+E159*D167</f>
        <v>123</v>
      </c>
      <c r="F167" s="82" t="s">
        <v>79</v>
      </c>
      <c r="G167" s="82" t="s">
        <v>14</v>
      </c>
      <c r="H167" s="82" t="s">
        <v>15</v>
      </c>
      <c r="I167" s="82" t="s">
        <v>15</v>
      </c>
      <c r="J167" s="91">
        <f>+D167/E167/D167</f>
        <v>8.130081300813009E-3</v>
      </c>
      <c r="K167" s="83">
        <f>+'Mat y mano obra'!D4</f>
        <v>21535</v>
      </c>
      <c r="L167" s="84">
        <f t="shared" si="11"/>
        <v>175.08130081300814</v>
      </c>
    </row>
    <row r="168" spans="2:12" ht="15.75" thickBot="1" x14ac:dyDescent="0.3">
      <c r="B168" s="86"/>
      <c r="C168" s="87" t="s">
        <v>49</v>
      </c>
      <c r="D168" s="88"/>
      <c r="E168" s="88"/>
      <c r="F168" s="88"/>
      <c r="G168" s="88"/>
      <c r="H168" s="88"/>
      <c r="I168" s="88" t="s">
        <v>26</v>
      </c>
      <c r="J168" s="88">
        <v>57</v>
      </c>
      <c r="K168" s="89" t="s">
        <v>27</v>
      </c>
      <c r="L168" s="90">
        <f>+(L164+L165+L167)*J168%</f>
        <v>432.95567354596625</v>
      </c>
    </row>
    <row r="170" spans="2:12" ht="15.75" thickBot="1" x14ac:dyDescent="0.3"/>
    <row r="171" spans="2:12" x14ac:dyDescent="0.25">
      <c r="B171" s="66" t="s">
        <v>0</v>
      </c>
      <c r="C171" s="67" t="s">
        <v>1</v>
      </c>
      <c r="D171" s="68"/>
      <c r="E171" s="68"/>
      <c r="F171" s="68"/>
      <c r="G171" s="68"/>
      <c r="H171" s="68"/>
      <c r="I171" s="67" t="s">
        <v>5</v>
      </c>
      <c r="J171" s="67" t="s">
        <v>6</v>
      </c>
      <c r="K171" s="67" t="s">
        <v>7</v>
      </c>
      <c r="L171" s="69" t="s">
        <v>8</v>
      </c>
    </row>
    <row r="172" spans="2:12" ht="15.75" thickBot="1" x14ac:dyDescent="0.3">
      <c r="B172" s="70"/>
      <c r="C172" s="71" t="s">
        <v>83</v>
      </c>
      <c r="D172" s="64"/>
      <c r="E172" s="64"/>
      <c r="F172" s="64"/>
      <c r="G172" s="64"/>
      <c r="H172" s="64"/>
      <c r="I172" s="72" t="s">
        <v>79</v>
      </c>
      <c r="J172" s="72">
        <v>1</v>
      </c>
      <c r="K172" s="65"/>
      <c r="L172" s="73">
        <f>+SUM(L174:L182)</f>
        <v>6000.2344978111323</v>
      </c>
    </row>
    <row r="173" spans="2:12" x14ac:dyDescent="0.25">
      <c r="B173" s="74"/>
      <c r="C173" s="75" t="s">
        <v>62</v>
      </c>
      <c r="D173" s="76"/>
      <c r="E173" s="185">
        <f>+rendimiento!C21</f>
        <v>41</v>
      </c>
      <c r="F173" s="76"/>
      <c r="G173" s="76"/>
      <c r="H173" s="76"/>
      <c r="I173" s="77"/>
      <c r="J173" s="77"/>
      <c r="K173" s="78"/>
      <c r="L173" s="79"/>
    </row>
    <row r="174" spans="2:12" x14ac:dyDescent="0.25">
      <c r="B174" s="80"/>
      <c r="C174" s="81" t="s">
        <v>127</v>
      </c>
      <c r="D174" s="82">
        <v>1</v>
      </c>
      <c r="E174" s="82">
        <v>13</v>
      </c>
      <c r="F174" s="82"/>
      <c r="G174" s="82"/>
      <c r="H174" s="82"/>
      <c r="I174" s="82" t="s">
        <v>73</v>
      </c>
      <c r="J174" s="92">
        <f>+D174/E174/D174</f>
        <v>7.6923076923076927E-2</v>
      </c>
      <c r="K174" s="83">
        <f>+'Mat y mano obra'!D32+53.1*0.33*'APU DT-18'!C13</f>
        <v>61627</v>
      </c>
      <c r="L174" s="84">
        <f>+K174*J174</f>
        <v>4740.5384615384619</v>
      </c>
    </row>
    <row r="175" spans="2:12" x14ac:dyDescent="0.25">
      <c r="B175" s="80"/>
      <c r="C175" s="81" t="s">
        <v>64</v>
      </c>
      <c r="D175" s="82"/>
      <c r="E175" s="82"/>
      <c r="F175" s="82"/>
      <c r="G175" s="82"/>
      <c r="H175" s="82"/>
      <c r="I175" s="163" t="s">
        <v>44</v>
      </c>
      <c r="J175" s="163">
        <v>0.01</v>
      </c>
      <c r="K175" s="162">
        <f>+'Mat y mano obra'!D27</f>
        <v>872</v>
      </c>
      <c r="L175" s="84">
        <f t="shared" ref="L175:L181" si="12">+K175*J175</f>
        <v>8.7200000000000006</v>
      </c>
    </row>
    <row r="176" spans="2:12" x14ac:dyDescent="0.25">
      <c r="B176" s="80"/>
      <c r="C176" s="81" t="s">
        <v>28</v>
      </c>
      <c r="D176" s="82"/>
      <c r="E176" s="82"/>
      <c r="F176" s="82"/>
      <c r="G176" s="82"/>
      <c r="H176" s="82"/>
      <c r="I176" s="82"/>
      <c r="J176" s="82"/>
      <c r="K176" s="83"/>
      <c r="L176" s="84"/>
    </row>
    <row r="177" spans="2:12" x14ac:dyDescent="0.25">
      <c r="B177" s="80"/>
      <c r="C177" s="85" t="s">
        <v>65</v>
      </c>
      <c r="D177" s="82"/>
      <c r="E177" s="82"/>
      <c r="F177" s="82" t="s">
        <v>79</v>
      </c>
      <c r="G177" s="82" t="s">
        <v>14</v>
      </c>
      <c r="H177" s="82" t="s">
        <v>15</v>
      </c>
      <c r="I177" s="82" t="s">
        <v>15</v>
      </c>
      <c r="J177" s="91"/>
      <c r="K177" s="83"/>
      <c r="L177" s="84"/>
    </row>
    <row r="178" spans="2:12" x14ac:dyDescent="0.25">
      <c r="B178" s="80"/>
      <c r="C178" s="81" t="s">
        <v>66</v>
      </c>
      <c r="D178" s="82">
        <v>1</v>
      </c>
      <c r="E178" s="82">
        <f>+E173</f>
        <v>41</v>
      </c>
      <c r="F178" s="82" t="s">
        <v>79</v>
      </c>
      <c r="G178" s="82" t="s">
        <v>14</v>
      </c>
      <c r="H178" s="82" t="s">
        <v>35</v>
      </c>
      <c r="I178" s="82" t="s">
        <v>35</v>
      </c>
      <c r="J178" s="91">
        <f>+D178/E178/D178</f>
        <v>2.4390243902439025E-2</v>
      </c>
      <c r="K178" s="83">
        <f>+'Mat y mano obra'!D5</f>
        <v>16492</v>
      </c>
      <c r="L178" s="84">
        <f t="shared" si="12"/>
        <v>402.2439024390244</v>
      </c>
    </row>
    <row r="179" spans="2:12" x14ac:dyDescent="0.25">
      <c r="B179" s="80"/>
      <c r="C179" s="81" t="s">
        <v>67</v>
      </c>
      <c r="D179" s="82">
        <v>1</v>
      </c>
      <c r="E179" s="82">
        <v>65</v>
      </c>
      <c r="F179" s="82" t="s">
        <v>79</v>
      </c>
      <c r="G179" s="82" t="s">
        <v>14</v>
      </c>
      <c r="H179" s="82" t="s">
        <v>35</v>
      </c>
      <c r="I179" s="82" t="s">
        <v>35</v>
      </c>
      <c r="J179" s="91">
        <f>+D179/E179/D179</f>
        <v>1.5384615384615385E-2</v>
      </c>
      <c r="K179" s="83">
        <f>+'Mat y mano obra'!D7</f>
        <v>11846</v>
      </c>
      <c r="L179" s="84">
        <f t="shared" si="12"/>
        <v>182.24615384615385</v>
      </c>
    </row>
    <row r="180" spans="2:12" x14ac:dyDescent="0.25">
      <c r="B180" s="80"/>
      <c r="C180" s="81" t="s">
        <v>68</v>
      </c>
      <c r="D180" s="82"/>
      <c r="E180" s="82"/>
      <c r="F180" s="82"/>
      <c r="G180" s="82"/>
      <c r="H180" s="82"/>
      <c r="I180" s="82" t="s">
        <v>26</v>
      </c>
      <c r="J180" s="172">
        <v>10</v>
      </c>
      <c r="K180" s="83"/>
      <c r="L180" s="84">
        <f>+SUM(L178:L179)*J180%</f>
        <v>58.449005628517831</v>
      </c>
    </row>
    <row r="181" spans="2:12" x14ac:dyDescent="0.25">
      <c r="B181" s="80"/>
      <c r="C181" s="81" t="s">
        <v>69</v>
      </c>
      <c r="D181" s="82">
        <v>3</v>
      </c>
      <c r="E181" s="82">
        <f>+E173*D181</f>
        <v>123</v>
      </c>
      <c r="F181" s="82" t="s">
        <v>79</v>
      </c>
      <c r="G181" s="82" t="s">
        <v>14</v>
      </c>
      <c r="H181" s="82" t="s">
        <v>15</v>
      </c>
      <c r="I181" s="82" t="s">
        <v>15</v>
      </c>
      <c r="J181" s="91">
        <f>+D181/E181/D181</f>
        <v>8.130081300813009E-3</v>
      </c>
      <c r="K181" s="83">
        <f>+'Mat y mano obra'!D4</f>
        <v>21535</v>
      </c>
      <c r="L181" s="84">
        <f t="shared" si="12"/>
        <v>175.08130081300814</v>
      </c>
    </row>
    <row r="182" spans="2:12" ht="15.75" thickBot="1" x14ac:dyDescent="0.3">
      <c r="B182" s="86"/>
      <c r="C182" s="87" t="s">
        <v>49</v>
      </c>
      <c r="D182" s="88"/>
      <c r="E182" s="88"/>
      <c r="F182" s="88"/>
      <c r="G182" s="88"/>
      <c r="H182" s="88"/>
      <c r="I182" s="88" t="s">
        <v>26</v>
      </c>
      <c r="J182" s="88">
        <v>57</v>
      </c>
      <c r="K182" s="89" t="s">
        <v>27</v>
      </c>
      <c r="L182" s="90">
        <f>+(L178+L179+L181)*J182%</f>
        <v>432.95567354596625</v>
      </c>
    </row>
  </sheetData>
  <mergeCells count="2">
    <mergeCell ref="F4:H4"/>
    <mergeCell ref="F60:H60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B2:N178"/>
  <sheetViews>
    <sheetView topLeftCell="A160" workbookViewId="0">
      <selection activeCell="C170" sqref="C170:C171"/>
    </sheetView>
  </sheetViews>
  <sheetFormatPr baseColWidth="10" defaultRowHeight="15" x14ac:dyDescent="0.25"/>
  <cols>
    <col min="2" max="2" width="7.7109375" bestFit="1" customWidth="1"/>
    <col min="3" max="3" width="52.7109375" bestFit="1" customWidth="1"/>
    <col min="4" max="4" width="6.140625" bestFit="1" customWidth="1"/>
    <col min="5" max="5" width="9.14062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5703125" bestFit="1" customWidth="1"/>
    <col min="11" max="11" width="6.5703125" bestFit="1" customWidth="1"/>
    <col min="12" max="12" width="9.5703125" bestFit="1" customWidth="1"/>
  </cols>
  <sheetData>
    <row r="2" spans="2:12" ht="15.75" thickBot="1" x14ac:dyDescent="0.3"/>
    <row r="3" spans="2:12" ht="15.75" thickBot="1" x14ac:dyDescent="0.3">
      <c r="B3" s="66" t="s">
        <v>0</v>
      </c>
      <c r="C3" s="67" t="s">
        <v>1</v>
      </c>
      <c r="D3" s="68"/>
      <c r="E3" s="68"/>
      <c r="F3" s="68"/>
      <c r="G3" s="68"/>
      <c r="H3" s="68"/>
      <c r="I3" s="67" t="s">
        <v>5</v>
      </c>
      <c r="J3" s="67" t="s">
        <v>6</v>
      </c>
      <c r="K3" s="67" t="s">
        <v>7</v>
      </c>
      <c r="L3" s="69" t="s">
        <v>8</v>
      </c>
    </row>
    <row r="4" spans="2:12" ht="15.75" thickBot="1" x14ac:dyDescent="0.3">
      <c r="B4" s="70"/>
      <c r="C4" s="71" t="s">
        <v>102</v>
      </c>
      <c r="D4" s="99" t="s">
        <v>2</v>
      </c>
      <c r="E4" s="100" t="s">
        <v>3</v>
      </c>
      <c r="F4" s="621" t="s">
        <v>4</v>
      </c>
      <c r="G4" s="622"/>
      <c r="H4" s="623"/>
      <c r="I4" s="72" t="s">
        <v>10</v>
      </c>
      <c r="J4" s="72">
        <v>1</v>
      </c>
      <c r="K4" s="65"/>
      <c r="L4" s="139">
        <f>+SUM(L5:L11)</f>
        <v>1645.1476470588234</v>
      </c>
    </row>
    <row r="5" spans="2:12" x14ac:dyDescent="0.25">
      <c r="B5" s="133"/>
      <c r="C5" s="134"/>
      <c r="D5" s="135"/>
      <c r="E5" s="135">
        <f>+rendimiento!D25</f>
        <v>12</v>
      </c>
      <c r="F5" s="135"/>
      <c r="G5" s="135"/>
      <c r="H5" s="135"/>
      <c r="I5" s="136"/>
      <c r="J5" s="136"/>
      <c r="K5" s="137"/>
      <c r="L5" s="103"/>
    </row>
    <row r="6" spans="2:12" x14ac:dyDescent="0.25">
      <c r="B6" s="104"/>
      <c r="C6" s="105" t="s">
        <v>103</v>
      </c>
      <c r="D6" s="106"/>
      <c r="E6" s="106"/>
      <c r="F6" s="106"/>
      <c r="G6" s="106"/>
      <c r="H6" s="106"/>
      <c r="I6" s="106"/>
      <c r="J6" s="106"/>
      <c r="K6" s="102"/>
      <c r="L6" s="110"/>
    </row>
    <row r="7" spans="2:12" x14ac:dyDescent="0.25">
      <c r="B7" s="109"/>
      <c r="C7" s="111" t="s">
        <v>104</v>
      </c>
      <c r="D7" s="106">
        <v>1</v>
      </c>
      <c r="E7" s="106">
        <f>+E5</f>
        <v>12</v>
      </c>
      <c r="F7" s="106" t="s">
        <v>10</v>
      </c>
      <c r="G7" s="106" t="s">
        <v>14</v>
      </c>
      <c r="H7" s="106" t="s">
        <v>105</v>
      </c>
      <c r="I7" s="106" t="s">
        <v>105</v>
      </c>
      <c r="J7" s="186">
        <f>+D7/E7/D7</f>
        <v>8.3333333333333329E-2</v>
      </c>
      <c r="K7" s="102">
        <f>+'Mat y mano obra'!C13</f>
        <v>16000</v>
      </c>
      <c r="L7" s="110">
        <f>+K7*J7</f>
        <v>1333.3333333333333</v>
      </c>
    </row>
    <row r="8" spans="2:12" x14ac:dyDescent="0.25">
      <c r="B8" s="109"/>
      <c r="C8" s="111" t="s">
        <v>106</v>
      </c>
      <c r="D8" s="106">
        <v>1</v>
      </c>
      <c r="E8" s="106">
        <f>+E5*8.5</f>
        <v>102</v>
      </c>
      <c r="F8" s="106" t="s">
        <v>10</v>
      </c>
      <c r="G8" s="106" t="s">
        <v>14</v>
      </c>
      <c r="H8" s="106" t="s">
        <v>15</v>
      </c>
      <c r="I8" s="106" t="s">
        <v>15</v>
      </c>
      <c r="J8" s="186">
        <f>+D8/E8/D8</f>
        <v>9.8039215686274508E-3</v>
      </c>
      <c r="K8" s="102">
        <f>+'Mat y mano obra'!C8</f>
        <v>10187</v>
      </c>
      <c r="L8" s="110">
        <f>+K8*J8</f>
        <v>99.872549019607845</v>
      </c>
    </row>
    <row r="9" spans="2:12" x14ac:dyDescent="0.25">
      <c r="B9" s="109"/>
      <c r="C9" s="111" t="s">
        <v>130</v>
      </c>
      <c r="D9" s="106"/>
      <c r="E9" s="106"/>
      <c r="F9" s="106"/>
      <c r="G9" s="106"/>
      <c r="H9" s="106"/>
      <c r="I9" s="106"/>
      <c r="J9" s="186"/>
      <c r="K9" s="102"/>
      <c r="L9" s="110"/>
    </row>
    <row r="10" spans="2:12" x14ac:dyDescent="0.25">
      <c r="B10" s="109"/>
      <c r="C10" s="111" t="s">
        <v>107</v>
      </c>
      <c r="D10" s="106">
        <v>0.5</v>
      </c>
      <c r="E10" s="106">
        <f>+E5*2*8.5</f>
        <v>204</v>
      </c>
      <c r="F10" s="106" t="s">
        <v>10</v>
      </c>
      <c r="G10" s="106" t="s">
        <v>14</v>
      </c>
      <c r="H10" s="106" t="s">
        <v>15</v>
      </c>
      <c r="I10" s="106" t="s">
        <v>15</v>
      </c>
      <c r="J10" s="186">
        <f>+D10/E10/D10</f>
        <v>4.9019607843137254E-3</v>
      </c>
      <c r="K10" s="102">
        <f>+'Mat y mano obra'!C4</f>
        <v>20142</v>
      </c>
      <c r="L10" s="110">
        <f>+K10*J10</f>
        <v>98.735294117647058</v>
      </c>
    </row>
    <row r="11" spans="2:12" ht="15.75" thickBot="1" x14ac:dyDescent="0.3">
      <c r="B11" s="112"/>
      <c r="C11" s="113" t="s">
        <v>49</v>
      </c>
      <c r="D11" s="64"/>
      <c r="E11" s="64"/>
      <c r="F11" s="64"/>
      <c r="G11" s="64"/>
      <c r="H11" s="64"/>
      <c r="I11" s="64" t="s">
        <v>26</v>
      </c>
      <c r="J11" s="64">
        <v>57</v>
      </c>
      <c r="K11" s="65" t="s">
        <v>27</v>
      </c>
      <c r="L11" s="114">
        <f>+(L10+L8)*J11%</f>
        <v>113.20647058823529</v>
      </c>
    </row>
    <row r="12" spans="2:12" x14ac:dyDescent="0.25">
      <c r="B12" s="187"/>
      <c r="C12" s="188"/>
      <c r="D12" s="187"/>
      <c r="E12" s="187"/>
      <c r="F12" s="187"/>
      <c r="G12" s="187"/>
      <c r="H12" s="187"/>
      <c r="I12" s="187"/>
      <c r="J12" s="187"/>
      <c r="K12" s="189"/>
      <c r="L12" s="190"/>
    </row>
    <row r="13" spans="2:12" ht="15.75" thickBot="1" x14ac:dyDescent="0.3">
      <c r="B13" s="187"/>
      <c r="C13" s="188"/>
      <c r="D13" s="187"/>
      <c r="E13" s="187"/>
      <c r="F13" s="187"/>
      <c r="G13" s="187"/>
      <c r="H13" s="187"/>
      <c r="I13" s="187"/>
      <c r="J13" s="187"/>
      <c r="K13" s="189"/>
      <c r="L13" s="190"/>
    </row>
    <row r="14" spans="2:12" ht="15.75" thickBot="1" x14ac:dyDescent="0.3">
      <c r="B14" s="66" t="s">
        <v>0</v>
      </c>
      <c r="C14" s="67" t="s">
        <v>1</v>
      </c>
      <c r="D14" s="68"/>
      <c r="E14" s="68"/>
      <c r="F14" s="68"/>
      <c r="G14" s="68"/>
      <c r="H14" s="68"/>
      <c r="I14" s="68" t="s">
        <v>5</v>
      </c>
      <c r="J14" s="68" t="s">
        <v>6</v>
      </c>
      <c r="K14" s="68" t="s">
        <v>7</v>
      </c>
      <c r="L14" s="68" t="s">
        <v>8</v>
      </c>
    </row>
    <row r="15" spans="2:12" ht="15.75" thickBot="1" x14ac:dyDescent="0.3">
      <c r="B15" s="192"/>
      <c r="C15" s="193" t="s">
        <v>136</v>
      </c>
      <c r="D15" s="194" t="s">
        <v>2</v>
      </c>
      <c r="E15" s="195" t="s">
        <v>3</v>
      </c>
      <c r="F15" s="645" t="s">
        <v>4</v>
      </c>
      <c r="G15" s="646"/>
      <c r="H15" s="647"/>
      <c r="I15" s="198" t="s">
        <v>10</v>
      </c>
      <c r="J15" s="198">
        <v>1</v>
      </c>
      <c r="K15" s="198"/>
      <c r="L15" s="139">
        <f>+SUM(L17:L20)</f>
        <v>4366.1188888888883</v>
      </c>
    </row>
    <row r="16" spans="2:12" x14ac:dyDescent="0.25">
      <c r="B16" s="196"/>
      <c r="C16" s="197" t="s">
        <v>131</v>
      </c>
      <c r="D16" s="124"/>
      <c r="E16" s="124">
        <f>+rendimiento!D26</f>
        <v>4.5</v>
      </c>
      <c r="F16" s="124"/>
      <c r="G16" s="124"/>
      <c r="H16" s="124"/>
      <c r="I16" s="124"/>
      <c r="J16" s="124"/>
      <c r="K16" s="124"/>
      <c r="L16" s="175"/>
    </row>
    <row r="17" spans="2:12" x14ac:dyDescent="0.25">
      <c r="B17" s="104"/>
      <c r="C17" s="105" t="s">
        <v>132</v>
      </c>
      <c r="D17" s="106">
        <v>1</v>
      </c>
      <c r="E17" s="106">
        <f>+E16</f>
        <v>4.5</v>
      </c>
      <c r="F17" s="106" t="s">
        <v>10</v>
      </c>
      <c r="G17" s="106" t="s">
        <v>14</v>
      </c>
      <c r="H17" s="106" t="s">
        <v>15</v>
      </c>
      <c r="I17" s="106" t="s">
        <v>15</v>
      </c>
      <c r="J17" s="186">
        <f>+D17/E17/D17</f>
        <v>0.22222222222222221</v>
      </c>
      <c r="K17" s="106">
        <f>+'Mat y mano obra'!C8</f>
        <v>10187</v>
      </c>
      <c r="L17" s="110">
        <f>+K17*J17</f>
        <v>2263.7777777777778</v>
      </c>
    </row>
    <row r="18" spans="2:12" x14ac:dyDescent="0.25">
      <c r="B18" s="109"/>
      <c r="C18" s="111" t="s">
        <v>110</v>
      </c>
      <c r="D18" s="106"/>
      <c r="E18" s="106"/>
      <c r="F18" s="106"/>
      <c r="G18" s="106"/>
      <c r="H18" s="106"/>
      <c r="I18" s="106" t="s">
        <v>26</v>
      </c>
      <c r="J18" s="106">
        <v>10</v>
      </c>
      <c r="K18" s="106"/>
      <c r="L18" s="110">
        <f>+L17*J18%</f>
        <v>226.37777777777779</v>
      </c>
    </row>
    <row r="19" spans="2:12" x14ac:dyDescent="0.25">
      <c r="B19" s="109"/>
      <c r="C19" s="111" t="s">
        <v>133</v>
      </c>
      <c r="D19" s="106">
        <f>1/12</f>
        <v>8.3333333333333329E-2</v>
      </c>
      <c r="E19" s="106">
        <f>+E16*12</f>
        <v>54</v>
      </c>
      <c r="F19" s="106" t="s">
        <v>10</v>
      </c>
      <c r="G19" s="106" t="s">
        <v>14</v>
      </c>
      <c r="H19" s="106" t="s">
        <v>15</v>
      </c>
      <c r="I19" s="106" t="s">
        <v>15</v>
      </c>
      <c r="J19" s="186">
        <f>+D19/E19/D19</f>
        <v>1.8518518518518517E-2</v>
      </c>
      <c r="K19" s="106">
        <f>+'Mat y mano obra'!C4</f>
        <v>20142</v>
      </c>
      <c r="L19" s="110">
        <f>+K19*J19</f>
        <v>373</v>
      </c>
    </row>
    <row r="20" spans="2:12" ht="15.75" thickBot="1" x14ac:dyDescent="0.3">
      <c r="B20" s="112"/>
      <c r="C20" s="113" t="s">
        <v>49</v>
      </c>
      <c r="D20" s="64"/>
      <c r="E20" s="64"/>
      <c r="F20" s="64"/>
      <c r="G20" s="64"/>
      <c r="H20" s="64"/>
      <c r="I20" s="64" t="s">
        <v>26</v>
      </c>
      <c r="J20" s="64">
        <v>57</v>
      </c>
      <c r="K20" s="64"/>
      <c r="L20" s="114">
        <f>+(L19+L17)*J20%</f>
        <v>1502.9633333333331</v>
      </c>
    </row>
    <row r="21" spans="2:12" x14ac:dyDescent="0.25">
      <c r="B21" s="187"/>
      <c r="C21" s="188"/>
      <c r="D21" s="187"/>
      <c r="E21" s="187"/>
      <c r="F21" s="187"/>
      <c r="G21" s="187"/>
      <c r="H21" s="187"/>
      <c r="I21" s="187"/>
      <c r="J21" s="187"/>
      <c r="K21" s="187"/>
      <c r="L21" s="190"/>
    </row>
    <row r="22" spans="2:12" ht="15.75" thickBot="1" x14ac:dyDescent="0.3">
      <c r="B22" s="187"/>
      <c r="C22" s="188"/>
      <c r="D22" s="187"/>
      <c r="E22" s="187"/>
      <c r="F22" s="187"/>
      <c r="G22" s="187"/>
      <c r="H22" s="187"/>
      <c r="I22" s="187"/>
      <c r="J22" s="187"/>
      <c r="K22" s="187"/>
      <c r="L22" s="190"/>
    </row>
    <row r="23" spans="2:12" ht="15.75" thickBot="1" x14ac:dyDescent="0.3">
      <c r="B23" s="66" t="s">
        <v>0</v>
      </c>
      <c r="C23" s="67" t="s">
        <v>1</v>
      </c>
      <c r="D23" s="68"/>
      <c r="E23" s="68"/>
      <c r="F23" s="68"/>
      <c r="G23" s="68"/>
      <c r="H23" s="68"/>
      <c r="I23" s="68" t="s">
        <v>5</v>
      </c>
      <c r="J23" s="68" t="s">
        <v>6</v>
      </c>
      <c r="K23" s="68" t="s">
        <v>7</v>
      </c>
      <c r="L23" s="68" t="s">
        <v>8</v>
      </c>
    </row>
    <row r="24" spans="2:12" ht="15.75" thickBot="1" x14ac:dyDescent="0.3">
      <c r="B24" s="192"/>
      <c r="C24" s="193" t="s">
        <v>135</v>
      </c>
      <c r="D24" s="194" t="s">
        <v>2</v>
      </c>
      <c r="E24" s="195" t="s">
        <v>3</v>
      </c>
      <c r="F24" s="645" t="s">
        <v>4</v>
      </c>
      <c r="G24" s="646"/>
      <c r="H24" s="647"/>
      <c r="I24" s="198" t="s">
        <v>10</v>
      </c>
      <c r="J24" s="198">
        <v>1</v>
      </c>
      <c r="K24" s="198"/>
      <c r="L24" s="139">
        <f>+SUM(L26:L29)</f>
        <v>7859.0140000000001</v>
      </c>
    </row>
    <row r="25" spans="2:12" x14ac:dyDescent="0.25">
      <c r="B25" s="196"/>
      <c r="C25" s="197" t="s">
        <v>134</v>
      </c>
      <c r="D25" s="124"/>
      <c r="E25" s="124">
        <f>+rendimiento!D27</f>
        <v>2.5</v>
      </c>
      <c r="F25" s="124"/>
      <c r="G25" s="124"/>
      <c r="H25" s="124"/>
      <c r="I25" s="124"/>
      <c r="J25" s="124"/>
      <c r="K25" s="124"/>
      <c r="L25" s="175"/>
    </row>
    <row r="26" spans="2:12" x14ac:dyDescent="0.25">
      <c r="B26" s="104"/>
      <c r="C26" s="105" t="s">
        <v>132</v>
      </c>
      <c r="D26" s="106">
        <v>1</v>
      </c>
      <c r="E26" s="106">
        <f>+E25</f>
        <v>2.5</v>
      </c>
      <c r="F26" s="106" t="s">
        <v>10</v>
      </c>
      <c r="G26" s="106" t="s">
        <v>14</v>
      </c>
      <c r="H26" s="106" t="s">
        <v>15</v>
      </c>
      <c r="I26" s="106" t="s">
        <v>15</v>
      </c>
      <c r="J26" s="186">
        <f>+D26/E26/D26</f>
        <v>0.4</v>
      </c>
      <c r="K26" s="106">
        <f>+'Mat y mano obra'!C8</f>
        <v>10187</v>
      </c>
      <c r="L26" s="110">
        <f>+K26*J26</f>
        <v>4074.8</v>
      </c>
    </row>
    <row r="27" spans="2:12" x14ac:dyDescent="0.25">
      <c r="B27" s="109"/>
      <c r="C27" s="111" t="s">
        <v>110</v>
      </c>
      <c r="D27" s="106"/>
      <c r="E27" s="106"/>
      <c r="F27" s="106"/>
      <c r="G27" s="106"/>
      <c r="H27" s="106"/>
      <c r="I27" s="106" t="s">
        <v>26</v>
      </c>
      <c r="J27" s="106">
        <v>10</v>
      </c>
      <c r="K27" s="106"/>
      <c r="L27" s="110">
        <f>+L26*J27%</f>
        <v>407.48</v>
      </c>
    </row>
    <row r="28" spans="2:12" x14ac:dyDescent="0.25">
      <c r="B28" s="109"/>
      <c r="C28" s="111" t="s">
        <v>133</v>
      </c>
      <c r="D28" s="106">
        <f>1/12</f>
        <v>8.3333333333333329E-2</v>
      </c>
      <c r="E28" s="106">
        <f>+E25/D28</f>
        <v>30</v>
      </c>
      <c r="F28" s="106" t="s">
        <v>10</v>
      </c>
      <c r="G28" s="106" t="s">
        <v>14</v>
      </c>
      <c r="H28" s="106" t="s">
        <v>15</v>
      </c>
      <c r="I28" s="106" t="s">
        <v>15</v>
      </c>
      <c r="J28" s="186">
        <f>+D28/E28/D28</f>
        <v>3.3333333333333333E-2</v>
      </c>
      <c r="K28" s="106">
        <f>+'Mat y mano obra'!C4</f>
        <v>20142</v>
      </c>
      <c r="L28" s="110">
        <f>+K28*J28</f>
        <v>671.4</v>
      </c>
    </row>
    <row r="29" spans="2:12" ht="15.75" thickBot="1" x14ac:dyDescent="0.3">
      <c r="B29" s="112"/>
      <c r="C29" s="113" t="s">
        <v>49</v>
      </c>
      <c r="D29" s="64"/>
      <c r="E29" s="64"/>
      <c r="F29" s="64"/>
      <c r="G29" s="64"/>
      <c r="H29" s="64"/>
      <c r="I29" s="64" t="s">
        <v>26</v>
      </c>
      <c r="J29" s="64">
        <v>57</v>
      </c>
      <c r="K29" s="65" t="s">
        <v>27</v>
      </c>
      <c r="L29" s="114">
        <f>+(L28+L26)*J29%</f>
        <v>2705.3339999999998</v>
      </c>
    </row>
    <row r="30" spans="2:12" x14ac:dyDescent="0.25">
      <c r="B30" s="187"/>
      <c r="C30" s="188"/>
      <c r="D30" s="187"/>
      <c r="E30" s="187"/>
      <c r="F30" s="187"/>
      <c r="G30" s="187"/>
      <c r="H30" s="187"/>
      <c r="I30" s="187"/>
      <c r="J30" s="187"/>
      <c r="K30" s="187"/>
      <c r="L30" s="190"/>
    </row>
    <row r="31" spans="2:12" ht="15.75" thickBot="1" x14ac:dyDescent="0.3">
      <c r="B31" s="187"/>
      <c r="C31" s="188"/>
      <c r="D31" s="187"/>
      <c r="E31" s="187"/>
      <c r="F31" s="187"/>
      <c r="G31" s="187"/>
      <c r="H31" s="187"/>
      <c r="I31" s="187"/>
      <c r="J31" s="187"/>
      <c r="K31" s="187"/>
      <c r="L31" s="190"/>
    </row>
    <row r="32" spans="2:12" ht="15.75" thickBot="1" x14ac:dyDescent="0.3">
      <c r="B32" s="222" t="s">
        <v>0</v>
      </c>
      <c r="C32" s="223" t="s">
        <v>1</v>
      </c>
      <c r="D32" s="224"/>
      <c r="E32" s="224"/>
      <c r="F32" s="224"/>
      <c r="G32" s="224"/>
      <c r="H32" s="224"/>
      <c r="I32" s="224" t="s">
        <v>5</v>
      </c>
      <c r="J32" s="224" t="s">
        <v>6</v>
      </c>
      <c r="K32" s="224" t="s">
        <v>7</v>
      </c>
      <c r="L32" s="225" t="s">
        <v>8</v>
      </c>
    </row>
    <row r="33" spans="2:12" ht="15.75" thickBot="1" x14ac:dyDescent="0.3">
      <c r="B33" s="209"/>
      <c r="C33" s="208" t="s">
        <v>139</v>
      </c>
      <c r="D33" s="194" t="s">
        <v>2</v>
      </c>
      <c r="E33" s="195" t="s">
        <v>3</v>
      </c>
      <c r="F33" s="645" t="s">
        <v>4</v>
      </c>
      <c r="G33" s="646"/>
      <c r="H33" s="647"/>
      <c r="I33" s="205" t="s">
        <v>10</v>
      </c>
      <c r="J33" s="205">
        <v>1</v>
      </c>
      <c r="K33" s="205"/>
      <c r="L33" s="210">
        <f>+SUM(L34:L44)</f>
        <v>10399.36</v>
      </c>
    </row>
    <row r="34" spans="2:12" x14ac:dyDescent="0.25">
      <c r="B34" s="123"/>
      <c r="C34" s="214" t="s">
        <v>108</v>
      </c>
      <c r="D34" s="124"/>
      <c r="E34" s="124">
        <f>+rendimiento!D28</f>
        <v>6</v>
      </c>
      <c r="F34" s="124" t="s">
        <v>10</v>
      </c>
      <c r="G34" s="124" t="s">
        <v>14</v>
      </c>
      <c r="H34" s="124" t="s">
        <v>15</v>
      </c>
      <c r="I34" s="124" t="s">
        <v>15</v>
      </c>
      <c r="J34" s="211"/>
      <c r="K34" s="124"/>
      <c r="L34" s="227"/>
    </row>
    <row r="35" spans="2:12" x14ac:dyDescent="0.25">
      <c r="B35" s="109"/>
      <c r="C35" s="215" t="s">
        <v>109</v>
      </c>
      <c r="D35" s="106">
        <v>1.5</v>
      </c>
      <c r="E35" s="106">
        <f>+E34/D35</f>
        <v>4</v>
      </c>
      <c r="F35" s="106" t="s">
        <v>10</v>
      </c>
      <c r="G35" s="106" t="s">
        <v>14</v>
      </c>
      <c r="H35" s="106" t="s">
        <v>15</v>
      </c>
      <c r="I35" s="106" t="s">
        <v>35</v>
      </c>
      <c r="J35" s="186">
        <f>+D35/E35/D35</f>
        <v>0.25</v>
      </c>
      <c r="K35" s="106">
        <f>+'Mat y mano obra'!C8</f>
        <v>10187</v>
      </c>
      <c r="L35" s="228">
        <f>+K35*J35</f>
        <v>2546.75</v>
      </c>
    </row>
    <row r="36" spans="2:12" x14ac:dyDescent="0.25">
      <c r="B36" s="109"/>
      <c r="C36" s="215" t="s">
        <v>110</v>
      </c>
      <c r="D36" s="106"/>
      <c r="E36" s="106"/>
      <c r="F36" s="106"/>
      <c r="G36" s="106"/>
      <c r="H36" s="106" t="s">
        <v>26</v>
      </c>
      <c r="I36" s="106"/>
      <c r="J36" s="219">
        <v>10</v>
      </c>
      <c r="K36" s="106"/>
      <c r="L36" s="228">
        <f>+L35*J36%</f>
        <v>254.67500000000001</v>
      </c>
    </row>
    <row r="37" spans="2:12" x14ac:dyDescent="0.25">
      <c r="B37" s="212"/>
      <c r="C37" s="216" t="s">
        <v>111</v>
      </c>
      <c r="D37" s="106"/>
      <c r="E37" s="106"/>
      <c r="F37" s="106"/>
      <c r="G37" s="106"/>
      <c r="H37" s="106"/>
      <c r="I37" s="106"/>
      <c r="J37" s="186"/>
      <c r="K37" s="106"/>
      <c r="L37" s="228"/>
    </row>
    <row r="38" spans="2:12" x14ac:dyDescent="0.25">
      <c r="B38" s="104"/>
      <c r="C38" s="217" t="s">
        <v>112</v>
      </c>
      <c r="D38" s="106">
        <v>1</v>
      </c>
      <c r="E38" s="106">
        <f>+E34*1.2</f>
        <v>7.1999999999999993</v>
      </c>
      <c r="F38" s="106" t="s">
        <v>10</v>
      </c>
      <c r="G38" s="106" t="s">
        <v>14</v>
      </c>
      <c r="H38" s="106" t="s">
        <v>15</v>
      </c>
      <c r="I38" s="106" t="s">
        <v>15</v>
      </c>
      <c r="J38" s="186">
        <f>+D38/E38/D38</f>
        <v>0.1388888888888889</v>
      </c>
      <c r="K38" s="226">
        <f>+'Mat y mano obra'!C14</f>
        <v>15000</v>
      </c>
      <c r="L38" s="228">
        <f>+K38*J38</f>
        <v>2083.3333333333335</v>
      </c>
    </row>
    <row r="39" spans="2:12" x14ac:dyDescent="0.25">
      <c r="B39" s="104"/>
      <c r="C39" s="217" t="s">
        <v>137</v>
      </c>
      <c r="D39" s="106"/>
      <c r="E39" s="106"/>
      <c r="F39" s="106"/>
      <c r="G39" s="106"/>
      <c r="H39" s="106"/>
      <c r="I39" s="106"/>
      <c r="J39" s="186"/>
      <c r="K39" s="102"/>
      <c r="L39" s="228"/>
    </row>
    <row r="40" spans="2:12" x14ac:dyDescent="0.25">
      <c r="B40" s="104"/>
      <c r="C40" s="217" t="s">
        <v>113</v>
      </c>
      <c r="D40" s="106">
        <v>1</v>
      </c>
      <c r="E40" s="106">
        <f>+E38*5</f>
        <v>36</v>
      </c>
      <c r="F40" s="106" t="s">
        <v>10</v>
      </c>
      <c r="G40" s="106" t="s">
        <v>14</v>
      </c>
      <c r="H40" s="106" t="s">
        <v>15</v>
      </c>
      <c r="I40" s="106" t="s">
        <v>15</v>
      </c>
      <c r="J40" s="186">
        <f>+D40/E40/D40</f>
        <v>2.7777777777777776E-2</v>
      </c>
      <c r="K40" s="102">
        <f>+'Mat y mano obra'!C10</f>
        <v>8500</v>
      </c>
      <c r="L40" s="228">
        <f>+K40*J40</f>
        <v>236.11111111111109</v>
      </c>
    </row>
    <row r="41" spans="2:12" x14ac:dyDescent="0.25">
      <c r="B41" s="109"/>
      <c r="C41" s="215" t="s">
        <v>138</v>
      </c>
      <c r="D41" s="106">
        <v>1</v>
      </c>
      <c r="E41" s="106">
        <f>+E38</f>
        <v>7.1999999999999993</v>
      </c>
      <c r="F41" s="106" t="s">
        <v>10</v>
      </c>
      <c r="G41" s="106" t="s">
        <v>14</v>
      </c>
      <c r="H41" s="106" t="s">
        <v>15</v>
      </c>
      <c r="I41" s="106" t="s">
        <v>15</v>
      </c>
      <c r="J41" s="186">
        <f>+D41/E41/D41</f>
        <v>0.1388888888888889</v>
      </c>
      <c r="K41" s="102">
        <f>+'Mat y mano obra'!C8</f>
        <v>10187</v>
      </c>
      <c r="L41" s="228">
        <f>+K41*J41</f>
        <v>1414.8611111111111</v>
      </c>
    </row>
    <row r="42" spans="2:12" ht="15.75" thickBot="1" x14ac:dyDescent="0.3">
      <c r="B42" s="109"/>
      <c r="C42" s="215" t="s">
        <v>110</v>
      </c>
      <c r="D42" s="106"/>
      <c r="E42" s="106"/>
      <c r="F42" s="106"/>
      <c r="G42" s="106"/>
      <c r="H42" s="106" t="s">
        <v>26</v>
      </c>
      <c r="I42" s="106"/>
      <c r="J42" s="219">
        <v>10</v>
      </c>
      <c r="K42" s="65" t="s">
        <v>27</v>
      </c>
      <c r="L42" s="228">
        <f>+L41*J42%</f>
        <v>141.48611111111111</v>
      </c>
    </row>
    <row r="43" spans="2:12" x14ac:dyDescent="0.25">
      <c r="B43" s="212"/>
      <c r="C43" s="216" t="s">
        <v>116</v>
      </c>
      <c r="D43" s="221">
        <f>1/3</f>
        <v>0.33333333333333331</v>
      </c>
      <c r="E43" s="106">
        <f>+E41/D43</f>
        <v>21.599999999999998</v>
      </c>
      <c r="F43" s="106" t="s">
        <v>10</v>
      </c>
      <c r="G43" s="106" t="s">
        <v>14</v>
      </c>
      <c r="H43" s="106" t="s">
        <v>15</v>
      </c>
      <c r="I43" s="106" t="s">
        <v>15</v>
      </c>
      <c r="J43" s="186">
        <f>+D43/E43/D43</f>
        <v>4.6296296296296301E-2</v>
      </c>
      <c r="K43" s="102">
        <f>+'Mat y mano obra'!C4</f>
        <v>20142</v>
      </c>
      <c r="L43" s="228">
        <f>+K43*J43</f>
        <v>932.50000000000011</v>
      </c>
    </row>
    <row r="44" spans="2:12" ht="15.75" thickBot="1" x14ac:dyDescent="0.3">
      <c r="B44" s="70"/>
      <c r="C44" s="218" t="s">
        <v>49</v>
      </c>
      <c r="D44" s="64"/>
      <c r="E44" s="64"/>
      <c r="F44" s="64"/>
      <c r="G44" s="64"/>
      <c r="H44" s="64" t="s">
        <v>26</v>
      </c>
      <c r="I44" s="64"/>
      <c r="J44" s="220">
        <v>57</v>
      </c>
      <c r="K44" s="213"/>
      <c r="L44" s="229">
        <f>+(L43+L41+L35)*J44%</f>
        <v>2789.6433333333334</v>
      </c>
    </row>
    <row r="45" spans="2:12" x14ac:dyDescent="0.25">
      <c r="B45" s="199"/>
      <c r="C45" s="200"/>
      <c r="D45" s="187"/>
      <c r="E45" s="187"/>
      <c r="F45" s="187"/>
      <c r="G45" s="187"/>
      <c r="H45" s="187"/>
      <c r="I45" s="201"/>
      <c r="J45" s="202"/>
      <c r="K45" s="63"/>
    </row>
    <row r="46" spans="2:12" ht="15.75" thickBot="1" x14ac:dyDescent="0.3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132"/>
    </row>
    <row r="47" spans="2:12" ht="15.75" thickBot="1" x14ac:dyDescent="0.3">
      <c r="B47" s="66" t="s">
        <v>0</v>
      </c>
      <c r="C47" s="144" t="s">
        <v>1</v>
      </c>
      <c r="D47" s="669"/>
      <c r="E47" s="670"/>
      <c r="F47" s="670"/>
      <c r="G47" s="670"/>
      <c r="H47" s="671"/>
      <c r="I47" s="145" t="s">
        <v>5</v>
      </c>
      <c r="J47" s="67" t="s">
        <v>6</v>
      </c>
      <c r="K47" s="67" t="s">
        <v>7</v>
      </c>
      <c r="L47" s="140" t="s">
        <v>8</v>
      </c>
    </row>
    <row r="48" spans="2:12" ht="15.75" thickBot="1" x14ac:dyDescent="0.3">
      <c r="B48" s="70"/>
      <c r="C48" s="146" t="s">
        <v>117</v>
      </c>
      <c r="D48" s="99" t="s">
        <v>2</v>
      </c>
      <c r="E48" s="100" t="s">
        <v>3</v>
      </c>
      <c r="F48" s="621" t="s">
        <v>4</v>
      </c>
      <c r="G48" s="622"/>
      <c r="H48" s="623"/>
      <c r="I48" s="147" t="s">
        <v>10</v>
      </c>
      <c r="J48" s="72">
        <v>1</v>
      </c>
      <c r="K48" s="65"/>
      <c r="L48" s="73">
        <f>+SUM(L49:L59)</f>
        <v>14132.524333333333</v>
      </c>
    </row>
    <row r="49" spans="2:12" x14ac:dyDescent="0.25">
      <c r="B49" s="148"/>
      <c r="C49" s="149" t="s">
        <v>108</v>
      </c>
      <c r="D49" s="230"/>
      <c r="E49" s="231">
        <f>+rendimiento!D29</f>
        <v>10</v>
      </c>
      <c r="F49" s="231" t="s">
        <v>10</v>
      </c>
      <c r="G49" s="231" t="s">
        <v>14</v>
      </c>
      <c r="H49" s="232" t="s">
        <v>15</v>
      </c>
      <c r="I49" s="141" t="s">
        <v>15</v>
      </c>
      <c r="J49" s="135"/>
      <c r="K49" s="137"/>
      <c r="L49" s="142"/>
    </row>
    <row r="50" spans="2:12" x14ac:dyDescent="0.25">
      <c r="B50" s="109"/>
      <c r="C50" s="150" t="s">
        <v>109</v>
      </c>
      <c r="D50" s="233">
        <v>1.5</v>
      </c>
      <c r="E50" s="234">
        <f>+E49/D50</f>
        <v>6.666666666666667</v>
      </c>
      <c r="F50" s="235" t="s">
        <v>10</v>
      </c>
      <c r="G50" s="235" t="s">
        <v>14</v>
      </c>
      <c r="H50" s="236" t="s">
        <v>35</v>
      </c>
      <c r="I50" s="143" t="s">
        <v>15</v>
      </c>
      <c r="J50" s="106">
        <f>+D50/E50/D50</f>
        <v>0.15</v>
      </c>
      <c r="K50" s="102">
        <f>+'Mat y mano obra'!C8</f>
        <v>10187</v>
      </c>
      <c r="L50" s="110">
        <f>+K50*J50</f>
        <v>1528.05</v>
      </c>
    </row>
    <row r="51" spans="2:12" x14ac:dyDescent="0.25">
      <c r="B51" s="109"/>
      <c r="C51" s="150" t="s">
        <v>110</v>
      </c>
      <c r="D51" s="233"/>
      <c r="E51" s="235"/>
      <c r="F51" s="235"/>
      <c r="G51" s="235"/>
      <c r="H51" s="236"/>
      <c r="I51" s="143" t="s">
        <v>26</v>
      </c>
      <c r="J51" s="106">
        <v>10</v>
      </c>
      <c r="K51" s="102"/>
      <c r="L51" s="110">
        <f>+L50*J51%</f>
        <v>152.80500000000001</v>
      </c>
    </row>
    <row r="52" spans="2:12" x14ac:dyDescent="0.25">
      <c r="B52" s="109"/>
      <c r="C52" s="150" t="s">
        <v>111</v>
      </c>
      <c r="D52" s="233"/>
      <c r="E52" s="235"/>
      <c r="F52" s="235"/>
      <c r="G52" s="235"/>
      <c r="H52" s="236"/>
      <c r="I52" s="143"/>
      <c r="J52" s="106"/>
      <c r="K52" s="102"/>
      <c r="L52" s="110"/>
    </row>
    <row r="53" spans="2:12" x14ac:dyDescent="0.25">
      <c r="B53" s="109"/>
      <c r="C53" s="150" t="s">
        <v>112</v>
      </c>
      <c r="D53" s="233">
        <v>1</v>
      </c>
      <c r="E53" s="235">
        <f>1.2*E49</f>
        <v>12</v>
      </c>
      <c r="F53" s="235" t="s">
        <v>10</v>
      </c>
      <c r="G53" s="235" t="s">
        <v>14</v>
      </c>
      <c r="H53" s="236" t="s">
        <v>15</v>
      </c>
      <c r="I53" s="143" t="s">
        <v>15</v>
      </c>
      <c r="J53" s="186">
        <f>+D53/E53/D53</f>
        <v>8.3333333333333329E-2</v>
      </c>
      <c r="K53" s="226">
        <f>+'Mat y mano obra'!C14</f>
        <v>15000</v>
      </c>
      <c r="L53" s="110">
        <f t="shared" ref="L53:L58" si="0">+K53*J53</f>
        <v>1250</v>
      </c>
    </row>
    <row r="54" spans="2:12" x14ac:dyDescent="0.25">
      <c r="B54" s="109"/>
      <c r="C54" s="150" t="s">
        <v>113</v>
      </c>
      <c r="D54" s="233">
        <v>1</v>
      </c>
      <c r="E54" s="235">
        <f>5*E53</f>
        <v>60</v>
      </c>
      <c r="F54" s="235" t="s">
        <v>10</v>
      </c>
      <c r="G54" s="235" t="s">
        <v>14</v>
      </c>
      <c r="H54" s="236" t="s">
        <v>15</v>
      </c>
      <c r="I54" s="143" t="s">
        <v>15</v>
      </c>
      <c r="J54" s="186">
        <f>+D54/E54/D54</f>
        <v>1.6666666666666666E-2</v>
      </c>
      <c r="K54" s="102">
        <f>+'Mat y mano obra'!C10</f>
        <v>8500</v>
      </c>
      <c r="L54" s="110">
        <f t="shared" si="0"/>
        <v>141.66666666666666</v>
      </c>
    </row>
    <row r="55" spans="2:12" x14ac:dyDescent="0.25">
      <c r="B55" s="109"/>
      <c r="C55" s="150" t="s">
        <v>114</v>
      </c>
      <c r="D55" s="233"/>
      <c r="E55" s="235"/>
      <c r="F55" s="235"/>
      <c r="G55" s="235"/>
      <c r="H55" s="236"/>
      <c r="I55" s="143" t="s">
        <v>18</v>
      </c>
      <c r="J55" s="106">
        <v>1.77</v>
      </c>
      <c r="K55" s="102">
        <f>+'Mat y mano obra'!C20</f>
        <v>900</v>
      </c>
      <c r="L55" s="110">
        <f t="shared" si="0"/>
        <v>1593</v>
      </c>
    </row>
    <row r="56" spans="2:12" x14ac:dyDescent="0.25">
      <c r="B56" s="131"/>
      <c r="C56" s="151" t="s">
        <v>118</v>
      </c>
      <c r="D56" s="233">
        <v>1.1499999999999999</v>
      </c>
      <c r="E56" s="235"/>
      <c r="F56" s="235"/>
      <c r="G56" s="235"/>
      <c r="H56" s="236"/>
      <c r="I56" s="152" t="s">
        <v>10</v>
      </c>
      <c r="J56" s="128">
        <f>+D56</f>
        <v>1.1499999999999999</v>
      </c>
      <c r="K56" s="129">
        <f>+'Mat y mano obra'!C21+'APU DT-18'!C14*'APU DT-18'!C13</f>
        <v>5552</v>
      </c>
      <c r="L56" s="130">
        <f t="shared" si="0"/>
        <v>6384.7999999999993</v>
      </c>
    </row>
    <row r="57" spans="2:12" x14ac:dyDescent="0.25">
      <c r="B57" s="109"/>
      <c r="C57" s="150" t="s">
        <v>115</v>
      </c>
      <c r="D57" s="233">
        <v>1</v>
      </c>
      <c r="E57" s="235">
        <f>+E53</f>
        <v>12</v>
      </c>
      <c r="F57" s="235" t="s">
        <v>10</v>
      </c>
      <c r="G57" s="235" t="s">
        <v>14</v>
      </c>
      <c r="H57" s="236" t="s">
        <v>15</v>
      </c>
      <c r="I57" s="143" t="s">
        <v>15</v>
      </c>
      <c r="J57" s="186">
        <f>+D57/E57/D57</f>
        <v>8.3333333333333329E-2</v>
      </c>
      <c r="K57" s="102">
        <f>+'Mat y mano obra'!C8</f>
        <v>10187</v>
      </c>
      <c r="L57" s="110">
        <f t="shared" si="0"/>
        <v>848.91666666666663</v>
      </c>
    </row>
    <row r="58" spans="2:12" x14ac:dyDescent="0.25">
      <c r="B58" s="109"/>
      <c r="C58" s="150" t="s">
        <v>116</v>
      </c>
      <c r="D58" s="233">
        <f>1/3</f>
        <v>0.33333333333333331</v>
      </c>
      <c r="E58" s="235">
        <f>+E53/D58</f>
        <v>36</v>
      </c>
      <c r="F58" s="235" t="s">
        <v>10</v>
      </c>
      <c r="G58" s="235" t="s">
        <v>14</v>
      </c>
      <c r="H58" s="236" t="s">
        <v>15</v>
      </c>
      <c r="I58" s="143" t="s">
        <v>15</v>
      </c>
      <c r="J58" s="186">
        <f>+D58/E58/D58</f>
        <v>2.7777777777777776E-2</v>
      </c>
      <c r="K58" s="102">
        <f>+'Mat y mano obra'!C4</f>
        <v>20142</v>
      </c>
      <c r="L58" s="110">
        <f t="shared" si="0"/>
        <v>559.5</v>
      </c>
    </row>
    <row r="59" spans="2:12" ht="15.75" thickBot="1" x14ac:dyDescent="0.3">
      <c r="B59" s="112"/>
      <c r="C59" s="153" t="s">
        <v>49</v>
      </c>
      <c r="D59" s="237"/>
      <c r="E59" s="238"/>
      <c r="F59" s="238"/>
      <c r="G59" s="238"/>
      <c r="H59" s="239"/>
      <c r="I59" s="154" t="s">
        <v>26</v>
      </c>
      <c r="J59" s="64">
        <v>57</v>
      </c>
      <c r="K59" s="65"/>
      <c r="L59" s="114">
        <f>+(L58+L57+L50)*J59%</f>
        <v>1673.7859999999996</v>
      </c>
    </row>
    <row r="61" spans="2:12" ht="15.75" thickBot="1" x14ac:dyDescent="0.3"/>
    <row r="62" spans="2:12" s="247" customFormat="1" ht="15.75" thickBot="1" x14ac:dyDescent="0.3">
      <c r="B62" s="66" t="s">
        <v>0</v>
      </c>
      <c r="C62" s="144" t="s">
        <v>1</v>
      </c>
      <c r="D62" s="669"/>
      <c r="E62" s="670"/>
      <c r="F62" s="670"/>
      <c r="G62" s="670"/>
      <c r="H62" s="671"/>
      <c r="I62" s="145" t="s">
        <v>5</v>
      </c>
      <c r="J62" s="67" t="s">
        <v>6</v>
      </c>
      <c r="K62" s="67" t="s">
        <v>7</v>
      </c>
      <c r="L62" s="140" t="s">
        <v>8</v>
      </c>
    </row>
    <row r="63" spans="2:12" s="247" customFormat="1" ht="15.75" x14ac:dyDescent="0.25">
      <c r="B63" s="244"/>
      <c r="C63" s="245" t="s">
        <v>163</v>
      </c>
      <c r="D63" s="194" t="s">
        <v>2</v>
      </c>
      <c r="E63" s="195" t="s">
        <v>3</v>
      </c>
      <c r="F63" s="645" t="s">
        <v>4</v>
      </c>
      <c r="G63" s="646"/>
      <c r="H63" s="647"/>
      <c r="I63" s="246" t="s">
        <v>10</v>
      </c>
      <c r="J63" s="198">
        <v>1</v>
      </c>
      <c r="K63" s="102"/>
      <c r="L63" s="251">
        <f>+SUM(L64:L69)</f>
        <v>725.95543529411771</v>
      </c>
    </row>
    <row r="64" spans="2:12" s="247" customFormat="1" ht="15.75" x14ac:dyDescent="0.25">
      <c r="B64" s="203"/>
      <c r="C64" s="150" t="s">
        <v>140</v>
      </c>
      <c r="D64" s="233">
        <v>1</v>
      </c>
      <c r="E64" s="235">
        <f>+rendimiento!D30</f>
        <v>50</v>
      </c>
      <c r="F64" s="235" t="s">
        <v>10</v>
      </c>
      <c r="G64" s="204" t="s">
        <v>14</v>
      </c>
      <c r="H64" s="236" t="s">
        <v>105</v>
      </c>
      <c r="I64" s="252" t="s">
        <v>105</v>
      </c>
      <c r="J64" s="186">
        <f>+D64/E64/D64</f>
        <v>0.02</v>
      </c>
      <c r="K64" s="226">
        <f>+'Mat y mano obra'!C15</f>
        <v>32556</v>
      </c>
      <c r="L64" s="102">
        <f>+K64*J64</f>
        <v>651.12</v>
      </c>
    </row>
    <row r="65" spans="2:12" s="247" customFormat="1" ht="15.75" x14ac:dyDescent="0.25">
      <c r="B65" s="203"/>
      <c r="C65" s="150" t="s">
        <v>141</v>
      </c>
      <c r="D65" s="233"/>
      <c r="E65" s="235"/>
      <c r="F65" s="235"/>
      <c r="G65" s="204"/>
      <c r="H65" s="236"/>
      <c r="I65" s="252"/>
      <c r="J65" s="186"/>
      <c r="K65" s="102"/>
      <c r="L65" s="102"/>
    </row>
    <row r="66" spans="2:12" s="247" customFormat="1" ht="15.75" x14ac:dyDescent="0.25">
      <c r="B66" s="203"/>
      <c r="C66" s="150" t="s">
        <v>142</v>
      </c>
      <c r="D66" s="233">
        <v>1</v>
      </c>
      <c r="E66" s="235">
        <f>8.5*E64</f>
        <v>425</v>
      </c>
      <c r="F66" s="235" t="s">
        <v>10</v>
      </c>
      <c r="G66" s="204" t="s">
        <v>14</v>
      </c>
      <c r="H66" s="236" t="s">
        <v>15</v>
      </c>
      <c r="I66" s="252" t="s">
        <v>15</v>
      </c>
      <c r="J66" s="186">
        <f>+D66/E66/D66</f>
        <v>2.352941176470588E-3</v>
      </c>
      <c r="K66" s="102">
        <f>+'Mat y mano obra'!C8</f>
        <v>10187</v>
      </c>
      <c r="L66" s="102">
        <f>+K66*J66</f>
        <v>23.969411764705882</v>
      </c>
    </row>
    <row r="67" spans="2:12" s="247" customFormat="1" ht="15.75" x14ac:dyDescent="0.25">
      <c r="B67" s="203"/>
      <c r="C67" s="150" t="s">
        <v>141</v>
      </c>
      <c r="D67" s="233"/>
      <c r="E67" s="235"/>
      <c r="F67" s="235"/>
      <c r="G67" s="204"/>
      <c r="H67" s="236"/>
      <c r="I67" s="252"/>
      <c r="J67" s="186"/>
      <c r="K67" s="102"/>
      <c r="L67" s="102"/>
    </row>
    <row r="68" spans="2:12" s="247" customFormat="1" ht="15.75" x14ac:dyDescent="0.25">
      <c r="B68" s="203"/>
      <c r="C68" s="150" t="s">
        <v>143</v>
      </c>
      <c r="D68" s="233">
        <v>0.5</v>
      </c>
      <c r="E68" s="235">
        <f>+E66/D68</f>
        <v>850</v>
      </c>
      <c r="F68" s="235" t="s">
        <v>10</v>
      </c>
      <c r="G68" s="204" t="s">
        <v>14</v>
      </c>
      <c r="H68" s="236" t="s">
        <v>15</v>
      </c>
      <c r="I68" s="252" t="s">
        <v>15</v>
      </c>
      <c r="J68" s="186">
        <f>+D68/E68/D68</f>
        <v>1.176470588235294E-3</v>
      </c>
      <c r="K68" s="102">
        <f>+'Mat y mano obra'!C4</f>
        <v>20142</v>
      </c>
      <c r="L68" s="102">
        <f>+K68*J68</f>
        <v>23.696470588235293</v>
      </c>
    </row>
    <row r="69" spans="2:12" s="247" customFormat="1" ht="16.5" thickBot="1" x14ac:dyDescent="0.3">
      <c r="B69" s="203"/>
      <c r="C69" s="150" t="s">
        <v>49</v>
      </c>
      <c r="D69" s="237"/>
      <c r="E69" s="238"/>
      <c r="F69" s="238"/>
      <c r="G69" s="207"/>
      <c r="H69" s="239"/>
      <c r="I69" s="252" t="s">
        <v>26</v>
      </c>
      <c r="J69" s="106">
        <v>57</v>
      </c>
      <c r="K69" s="102"/>
      <c r="L69" s="102">
        <f>+(L68+L66)*J69%</f>
        <v>27.169552941176466</v>
      </c>
    </row>
    <row r="70" spans="2:12" s="247" customFormat="1" x14ac:dyDescent="0.25"/>
    <row r="71" spans="2:12" s="247" customFormat="1" ht="15.75" thickBot="1" x14ac:dyDescent="0.3"/>
    <row r="72" spans="2:12" s="247" customFormat="1" ht="15.75" thickBot="1" x14ac:dyDescent="0.3">
      <c r="B72" s="66" t="s">
        <v>0</v>
      </c>
      <c r="C72" s="144" t="s">
        <v>1</v>
      </c>
      <c r="D72" s="672"/>
      <c r="E72" s="673"/>
      <c r="F72" s="673"/>
      <c r="G72" s="673"/>
      <c r="H72" s="674"/>
      <c r="I72" s="145" t="s">
        <v>5</v>
      </c>
      <c r="J72" s="67" t="s">
        <v>6</v>
      </c>
      <c r="K72" s="67" t="s">
        <v>7</v>
      </c>
      <c r="L72" s="140" t="s">
        <v>8</v>
      </c>
    </row>
    <row r="73" spans="2:12" s="247" customFormat="1" ht="15.75" x14ac:dyDescent="0.25">
      <c r="B73" s="241"/>
      <c r="C73" s="253" t="s">
        <v>167</v>
      </c>
      <c r="D73" s="254" t="s">
        <v>2</v>
      </c>
      <c r="E73" s="255" t="s">
        <v>3</v>
      </c>
      <c r="F73" s="645" t="s">
        <v>4</v>
      </c>
      <c r="G73" s="646"/>
      <c r="H73" s="647"/>
      <c r="I73" s="252" t="s">
        <v>10</v>
      </c>
      <c r="J73" s="106">
        <v>1</v>
      </c>
      <c r="K73" s="256"/>
      <c r="L73" s="251">
        <f>+SUM(L74:L80)</f>
        <v>1722.6548529411764</v>
      </c>
    </row>
    <row r="74" spans="2:12" s="247" customFormat="1" ht="15.75" x14ac:dyDescent="0.25">
      <c r="B74" s="242"/>
      <c r="C74" s="111" t="s">
        <v>104</v>
      </c>
      <c r="D74" s="233">
        <v>1</v>
      </c>
      <c r="E74" s="235">
        <f>+rendimiento!D31</f>
        <v>12</v>
      </c>
      <c r="F74" s="235" t="s">
        <v>10</v>
      </c>
      <c r="G74" s="204" t="s">
        <v>14</v>
      </c>
      <c r="H74" s="236" t="s">
        <v>105</v>
      </c>
      <c r="I74" s="252" t="s">
        <v>105</v>
      </c>
      <c r="J74" s="186">
        <f>+D74/E74/D74</f>
        <v>8.3333333333333329E-2</v>
      </c>
      <c r="K74" s="226">
        <f>+'Mat y mano obra'!C13</f>
        <v>16000</v>
      </c>
      <c r="L74" s="251">
        <f>+K74*J74</f>
        <v>1333.3333333333333</v>
      </c>
    </row>
    <row r="75" spans="2:12" s="247" customFormat="1" ht="15.75" x14ac:dyDescent="0.25">
      <c r="B75" s="242"/>
      <c r="C75" s="150" t="s">
        <v>144</v>
      </c>
      <c r="D75" s="233"/>
      <c r="E75" s="235"/>
      <c r="F75" s="235"/>
      <c r="G75" s="204"/>
      <c r="H75" s="236"/>
      <c r="I75" s="252"/>
      <c r="J75" s="186"/>
      <c r="K75" s="102"/>
      <c r="L75" s="251"/>
    </row>
    <row r="76" spans="2:12" s="247" customFormat="1" ht="15.75" x14ac:dyDescent="0.25">
      <c r="B76" s="242"/>
      <c r="C76" s="150" t="s">
        <v>145</v>
      </c>
      <c r="D76" s="233">
        <v>1</v>
      </c>
      <c r="E76" s="235">
        <f>+E74*8.5</f>
        <v>102</v>
      </c>
      <c r="F76" s="235" t="s">
        <v>10</v>
      </c>
      <c r="G76" s="204" t="s">
        <v>14</v>
      </c>
      <c r="H76" s="236" t="s">
        <v>15</v>
      </c>
      <c r="I76" s="252" t="s">
        <v>15</v>
      </c>
      <c r="J76" s="186">
        <f>+D76/E76/D76</f>
        <v>9.8039215686274508E-3</v>
      </c>
      <c r="K76" s="102">
        <f>+'Mat y mano obra'!C8</f>
        <v>10187</v>
      </c>
      <c r="L76" s="251">
        <f>+K76*J76</f>
        <v>99.872549019607845</v>
      </c>
    </row>
    <row r="77" spans="2:12" s="247" customFormat="1" ht="15.75" x14ac:dyDescent="0.25">
      <c r="B77" s="242"/>
      <c r="C77" s="150" t="s">
        <v>146</v>
      </c>
      <c r="D77" s="233"/>
      <c r="E77" s="235"/>
      <c r="F77" s="235"/>
      <c r="G77" s="204"/>
      <c r="H77" s="236"/>
      <c r="I77" s="252"/>
      <c r="J77" s="186"/>
      <c r="K77" s="102"/>
      <c r="L77" s="251"/>
    </row>
    <row r="78" spans="2:12" s="247" customFormat="1" ht="15.75" x14ac:dyDescent="0.25">
      <c r="B78" s="242"/>
      <c r="C78" s="253" t="s">
        <v>147</v>
      </c>
      <c r="D78" s="233">
        <v>0.75</v>
      </c>
      <c r="E78" s="235">
        <f>+E76/D78</f>
        <v>136</v>
      </c>
      <c r="F78" s="235" t="s">
        <v>10</v>
      </c>
      <c r="G78" s="204" t="s">
        <v>14</v>
      </c>
      <c r="H78" s="236" t="s">
        <v>15</v>
      </c>
      <c r="I78" s="252" t="s">
        <v>15</v>
      </c>
      <c r="J78" s="186">
        <f>+D78/E78/D78</f>
        <v>7.352941176470589E-3</v>
      </c>
      <c r="K78" s="102">
        <f>+'Mat y mano obra'!C4</f>
        <v>20142</v>
      </c>
      <c r="L78" s="251">
        <f>+K78*J78</f>
        <v>148.10294117647061</v>
      </c>
    </row>
    <row r="79" spans="2:12" s="247" customFormat="1" ht="15.75" x14ac:dyDescent="0.25">
      <c r="B79" s="242"/>
      <c r="C79" s="150" t="s">
        <v>49</v>
      </c>
      <c r="D79" s="233"/>
      <c r="E79" s="235"/>
      <c r="F79" s="235"/>
      <c r="G79" s="204"/>
      <c r="H79" s="236"/>
      <c r="I79" s="252" t="s">
        <v>26</v>
      </c>
      <c r="J79" s="106">
        <v>57</v>
      </c>
      <c r="K79" s="102"/>
      <c r="L79" s="251">
        <f>+(L78+L76)*J79%</f>
        <v>141.3460294117647</v>
      </c>
    </row>
    <row r="80" spans="2:12" s="247" customFormat="1" ht="16.5" thickBot="1" x14ac:dyDescent="0.3">
      <c r="B80" s="243"/>
      <c r="C80" s="257"/>
      <c r="D80" s="243"/>
      <c r="E80" s="206"/>
      <c r="F80" s="207"/>
      <c r="G80" s="207"/>
      <c r="H80" s="258"/>
      <c r="I80" s="259"/>
      <c r="J80" s="206"/>
      <c r="K80" s="260"/>
      <c r="L80" s="251"/>
    </row>
    <row r="81" spans="2:14" s="247" customFormat="1" ht="15.75" x14ac:dyDescent="0.25">
      <c r="B81" s="240"/>
      <c r="C81" s="263"/>
      <c r="D81" s="240"/>
      <c r="E81" s="240"/>
      <c r="F81" s="201"/>
      <c r="G81" s="201"/>
      <c r="H81" s="201"/>
      <c r="I81" s="201"/>
      <c r="J81" s="240"/>
      <c r="K81" s="264"/>
      <c r="L81" s="265"/>
    </row>
    <row r="82" spans="2:14" s="247" customFormat="1" ht="16.5" thickBot="1" x14ac:dyDescent="0.3">
      <c r="B82" s="249"/>
      <c r="C82" s="250"/>
      <c r="D82" s="249"/>
      <c r="E82" s="249"/>
      <c r="F82" s="248"/>
      <c r="G82" s="248"/>
      <c r="H82" s="248"/>
      <c r="I82" s="248"/>
      <c r="J82" s="249"/>
    </row>
    <row r="83" spans="2:14" s="247" customFormat="1" ht="15.75" thickBot="1" x14ac:dyDescent="0.3">
      <c r="B83" s="66" t="s">
        <v>0</v>
      </c>
      <c r="C83" s="144" t="s">
        <v>1</v>
      </c>
      <c r="D83" s="632"/>
      <c r="E83" s="633"/>
      <c r="F83" s="633"/>
      <c r="G83" s="633"/>
      <c r="H83" s="634"/>
      <c r="I83" s="145" t="s">
        <v>5</v>
      </c>
      <c r="J83" s="67" t="s">
        <v>6</v>
      </c>
      <c r="K83" s="67" t="s">
        <v>7</v>
      </c>
      <c r="L83" s="140" t="s">
        <v>8</v>
      </c>
    </row>
    <row r="84" spans="2:14" s="247" customFormat="1" ht="15.75" x14ac:dyDescent="0.25">
      <c r="B84" s="241"/>
      <c r="C84" s="668" t="s">
        <v>164</v>
      </c>
      <c r="D84" s="635" t="s">
        <v>2</v>
      </c>
      <c r="E84" s="637" t="s">
        <v>3</v>
      </c>
      <c r="F84" s="639" t="s">
        <v>4</v>
      </c>
      <c r="G84" s="640"/>
      <c r="H84" s="641"/>
      <c r="I84" s="624" t="s">
        <v>10</v>
      </c>
      <c r="J84" s="626">
        <v>1</v>
      </c>
      <c r="K84" s="628"/>
      <c r="L84" s="630">
        <f>+SUM(L86:L92)</f>
        <v>1333.8466176470586</v>
      </c>
      <c r="N84" s="302">
        <f>+L84</f>
        <v>1333.8466176470586</v>
      </c>
    </row>
    <row r="85" spans="2:14" s="247" customFormat="1" ht="15.75" x14ac:dyDescent="0.25">
      <c r="B85" s="242"/>
      <c r="C85" s="659"/>
      <c r="D85" s="636"/>
      <c r="E85" s="638"/>
      <c r="F85" s="642"/>
      <c r="G85" s="643"/>
      <c r="H85" s="644"/>
      <c r="I85" s="625"/>
      <c r="J85" s="627"/>
      <c r="K85" s="629"/>
      <c r="L85" s="631"/>
    </row>
    <row r="86" spans="2:14" s="247" customFormat="1" ht="15.75" x14ac:dyDescent="0.25">
      <c r="B86" s="242"/>
      <c r="C86" s="150" t="s">
        <v>140</v>
      </c>
      <c r="D86" s="233">
        <v>1</v>
      </c>
      <c r="E86" s="235">
        <f>+rendimiento!D32</f>
        <v>28</v>
      </c>
      <c r="F86" s="235" t="s">
        <v>10</v>
      </c>
      <c r="G86" s="204" t="s">
        <v>14</v>
      </c>
      <c r="H86" s="236" t="s">
        <v>105</v>
      </c>
      <c r="I86" s="252" t="s">
        <v>105</v>
      </c>
      <c r="J86" s="186">
        <f>+D86/E86/D86</f>
        <v>3.5714285714285712E-2</v>
      </c>
      <c r="K86" s="226">
        <f>+'Mat y mano obra'!C15</f>
        <v>32556</v>
      </c>
      <c r="L86" s="102">
        <f>+K86*J86</f>
        <v>1162.7142857142856</v>
      </c>
    </row>
    <row r="87" spans="2:14" s="247" customFormat="1" ht="15.75" x14ac:dyDescent="0.25">
      <c r="B87" s="242"/>
      <c r="C87" s="150" t="s">
        <v>141</v>
      </c>
      <c r="D87" s="233"/>
      <c r="E87" s="235"/>
      <c r="F87" s="235"/>
      <c r="G87" s="204"/>
      <c r="H87" s="236"/>
      <c r="I87" s="252"/>
      <c r="J87" s="186"/>
      <c r="K87" s="102"/>
      <c r="L87" s="102"/>
    </row>
    <row r="88" spans="2:14" s="247" customFormat="1" ht="15.75" x14ac:dyDescent="0.25">
      <c r="B88" s="242"/>
      <c r="C88" s="150" t="s">
        <v>148</v>
      </c>
      <c r="D88" s="233">
        <v>1</v>
      </c>
      <c r="E88" s="235">
        <f>+E86*8.5</f>
        <v>238</v>
      </c>
      <c r="F88" s="235" t="s">
        <v>10</v>
      </c>
      <c r="G88" s="204" t="s">
        <v>14</v>
      </c>
      <c r="H88" s="236" t="s">
        <v>15</v>
      </c>
      <c r="I88" s="252" t="s">
        <v>15</v>
      </c>
      <c r="J88" s="186">
        <f>+D88/E88/D88</f>
        <v>4.2016806722689074E-3</v>
      </c>
      <c r="K88" s="102">
        <f>+'Mat y mano obra'!C8</f>
        <v>10187</v>
      </c>
      <c r="L88" s="102">
        <f>+K88*J88</f>
        <v>42.80252100840336</v>
      </c>
    </row>
    <row r="89" spans="2:14" s="247" customFormat="1" ht="15.75" x14ac:dyDescent="0.25">
      <c r="B89" s="242"/>
      <c r="C89" s="150" t="s">
        <v>149</v>
      </c>
      <c r="D89" s="233"/>
      <c r="E89" s="235"/>
      <c r="F89" s="235"/>
      <c r="G89" s="204"/>
      <c r="H89" s="236"/>
      <c r="I89" s="252"/>
      <c r="J89" s="186"/>
      <c r="K89" s="102"/>
      <c r="L89" s="102"/>
    </row>
    <row r="90" spans="2:14" s="247" customFormat="1" ht="15.75" x14ac:dyDescent="0.25">
      <c r="B90" s="242"/>
      <c r="C90" s="150" t="s">
        <v>147</v>
      </c>
      <c r="D90" s="233">
        <v>0.75</v>
      </c>
      <c r="E90" s="261">
        <f>+E88/D90</f>
        <v>317.33333333333331</v>
      </c>
      <c r="F90" s="235" t="s">
        <v>10</v>
      </c>
      <c r="G90" s="204" t="s">
        <v>14</v>
      </c>
      <c r="H90" s="236" t="s">
        <v>15</v>
      </c>
      <c r="I90" s="252" t="s">
        <v>15</v>
      </c>
      <c r="J90" s="186">
        <f>+D90/E90/D90</f>
        <v>3.1512605042016812E-3</v>
      </c>
      <c r="K90" s="102">
        <f>+'Mat y mano obra'!C4</f>
        <v>20142</v>
      </c>
      <c r="L90" s="102">
        <f>+K90*J90</f>
        <v>63.472689075630264</v>
      </c>
    </row>
    <row r="91" spans="2:14" s="247" customFormat="1" ht="15.75" x14ac:dyDescent="0.25">
      <c r="B91" s="242"/>
      <c r="C91" s="253" t="s">
        <v>110</v>
      </c>
      <c r="D91" s="233"/>
      <c r="E91" s="235"/>
      <c r="F91" s="235"/>
      <c r="G91" s="204"/>
      <c r="H91" s="236"/>
      <c r="I91" s="252" t="s">
        <v>26</v>
      </c>
      <c r="J91" s="106">
        <v>10</v>
      </c>
      <c r="K91" s="102"/>
      <c r="L91" s="102">
        <f>+(L88)*J91%</f>
        <v>4.280252100840336</v>
      </c>
    </row>
    <row r="92" spans="2:14" s="247" customFormat="1" ht="16.5" thickBot="1" x14ac:dyDescent="0.3">
      <c r="B92" s="243"/>
      <c r="C92" s="153" t="s">
        <v>49</v>
      </c>
      <c r="D92" s="237"/>
      <c r="E92" s="238"/>
      <c r="F92" s="238"/>
      <c r="G92" s="207"/>
      <c r="H92" s="239"/>
      <c r="I92" s="262" t="s">
        <v>26</v>
      </c>
      <c r="J92" s="64">
        <v>57</v>
      </c>
      <c r="K92" s="102"/>
      <c r="L92" s="102">
        <f>+(L90+L88)*J92%</f>
        <v>60.576869747899167</v>
      </c>
    </row>
    <row r="93" spans="2:14" s="247" customFormat="1" ht="15.75" x14ac:dyDescent="0.25">
      <c r="B93" s="249"/>
      <c r="C93" s="250"/>
      <c r="D93" s="249"/>
      <c r="E93" s="249"/>
      <c r="F93" s="248"/>
      <c r="G93" s="248"/>
      <c r="H93" s="248"/>
      <c r="I93" s="248"/>
      <c r="J93" s="249"/>
    </row>
    <row r="94" spans="2:14" s="247" customFormat="1" ht="16.5" thickBot="1" x14ac:dyDescent="0.3">
      <c r="B94" s="249"/>
      <c r="C94" s="250"/>
      <c r="D94" s="249"/>
      <c r="E94" s="249"/>
      <c r="F94" s="248"/>
      <c r="G94" s="248"/>
      <c r="H94" s="248"/>
      <c r="I94" s="248"/>
      <c r="J94" s="249"/>
    </row>
    <row r="95" spans="2:14" s="247" customFormat="1" ht="15.75" thickBot="1" x14ac:dyDescent="0.3">
      <c r="B95" s="66" t="s">
        <v>0</v>
      </c>
      <c r="C95" s="144" t="s">
        <v>1</v>
      </c>
      <c r="D95" s="632"/>
      <c r="E95" s="633"/>
      <c r="F95" s="633"/>
      <c r="G95" s="633"/>
      <c r="H95" s="634"/>
      <c r="I95" s="145" t="s">
        <v>5</v>
      </c>
      <c r="J95" s="67" t="s">
        <v>6</v>
      </c>
      <c r="K95" s="67" t="s">
        <v>7</v>
      </c>
      <c r="L95" s="140" t="s">
        <v>8</v>
      </c>
    </row>
    <row r="96" spans="2:14" s="247" customFormat="1" ht="15.75" x14ac:dyDescent="0.25">
      <c r="B96" s="241"/>
      <c r="C96" s="606" t="s">
        <v>165</v>
      </c>
      <c r="D96" s="635" t="s">
        <v>2</v>
      </c>
      <c r="E96" s="637" t="s">
        <v>3</v>
      </c>
      <c r="F96" s="639" t="s">
        <v>4</v>
      </c>
      <c r="G96" s="640"/>
      <c r="H96" s="641"/>
      <c r="I96" s="624" t="s">
        <v>10</v>
      </c>
      <c r="J96" s="626">
        <v>1</v>
      </c>
      <c r="K96" s="628"/>
      <c r="L96" s="630">
        <f>+SUM(L98:L104)</f>
        <v>1369.7488970588236</v>
      </c>
      <c r="N96" s="302">
        <f>+L96</f>
        <v>1369.7488970588236</v>
      </c>
    </row>
    <row r="97" spans="2:14" s="247" customFormat="1" ht="15.75" x14ac:dyDescent="0.25">
      <c r="B97" s="242"/>
      <c r="C97" s="607"/>
      <c r="D97" s="636"/>
      <c r="E97" s="638"/>
      <c r="F97" s="642"/>
      <c r="G97" s="643"/>
      <c r="H97" s="644"/>
      <c r="I97" s="625"/>
      <c r="J97" s="627"/>
      <c r="K97" s="629"/>
      <c r="L97" s="631">
        <v>15685.891</v>
      </c>
    </row>
    <row r="98" spans="2:14" s="247" customFormat="1" ht="15.75" x14ac:dyDescent="0.25">
      <c r="B98" s="242"/>
      <c r="C98" s="150" t="s">
        <v>150</v>
      </c>
      <c r="D98" s="233">
        <v>1</v>
      </c>
      <c r="E98" s="235">
        <v>16</v>
      </c>
      <c r="F98" s="235" t="s">
        <v>10</v>
      </c>
      <c r="G98" s="204" t="s">
        <v>14</v>
      </c>
      <c r="H98" s="236" t="s">
        <v>105</v>
      </c>
      <c r="I98" s="252" t="s">
        <v>105</v>
      </c>
      <c r="J98" s="186">
        <f>+D98/E98/D98</f>
        <v>6.25E-2</v>
      </c>
      <c r="K98" s="226">
        <f>+'Mat y mano obra'!C16/8</f>
        <v>18125</v>
      </c>
      <c r="L98" s="102">
        <f>+K98*J98</f>
        <v>1132.8125</v>
      </c>
    </row>
    <row r="99" spans="2:14" s="247" customFormat="1" ht="15.75" x14ac:dyDescent="0.25">
      <c r="B99" s="242"/>
      <c r="C99" s="150" t="s">
        <v>151</v>
      </c>
      <c r="D99" s="233"/>
      <c r="E99" s="235"/>
      <c r="F99" s="235"/>
      <c r="G99" s="204"/>
      <c r="H99" s="236"/>
      <c r="I99" s="252"/>
      <c r="J99" s="186"/>
      <c r="K99" s="102"/>
      <c r="L99" s="102"/>
    </row>
    <row r="100" spans="2:14" s="247" customFormat="1" ht="15.75" x14ac:dyDescent="0.25">
      <c r="B100" s="242"/>
      <c r="C100" s="150" t="s">
        <v>152</v>
      </c>
      <c r="D100" s="233">
        <v>0.5</v>
      </c>
      <c r="E100" s="235">
        <f>+E98*8.5/D100</f>
        <v>272</v>
      </c>
      <c r="F100" s="235" t="s">
        <v>10</v>
      </c>
      <c r="G100" s="204" t="s">
        <v>14</v>
      </c>
      <c r="H100" s="236" t="s">
        <v>15</v>
      </c>
      <c r="I100" s="252" t="s">
        <v>15</v>
      </c>
      <c r="J100" s="186">
        <f>+D100/E100/D100</f>
        <v>3.6764705882352941E-3</v>
      </c>
      <c r="K100" s="102">
        <f>+'Mat y mano obra'!C8</f>
        <v>10187</v>
      </c>
      <c r="L100" s="102">
        <f>+K100*J100</f>
        <v>37.452205882352942</v>
      </c>
    </row>
    <row r="101" spans="2:14" s="247" customFormat="1" ht="15.75" x14ac:dyDescent="0.25">
      <c r="B101" s="242"/>
      <c r="C101" s="150" t="s">
        <v>153</v>
      </c>
      <c r="D101" s="233"/>
      <c r="E101" s="235"/>
      <c r="F101" s="235"/>
      <c r="G101" s="204"/>
      <c r="H101" s="236"/>
      <c r="I101" s="252"/>
      <c r="J101" s="186"/>
      <c r="K101" s="102"/>
      <c r="L101" s="102"/>
    </row>
    <row r="102" spans="2:14" s="247" customFormat="1" ht="15.75" x14ac:dyDescent="0.25">
      <c r="B102" s="242"/>
      <c r="C102" s="150" t="s">
        <v>147</v>
      </c>
      <c r="D102" s="233">
        <v>0.75</v>
      </c>
      <c r="E102" s="235">
        <f>+E100*D100/D102</f>
        <v>181.33333333333334</v>
      </c>
      <c r="F102" s="235" t="s">
        <v>10</v>
      </c>
      <c r="G102" s="204" t="s">
        <v>14</v>
      </c>
      <c r="H102" s="236" t="s">
        <v>15</v>
      </c>
      <c r="I102" s="252" t="s">
        <v>15</v>
      </c>
      <c r="J102" s="186">
        <f>+D102/E102/D102</f>
        <v>5.5147058823529415E-3</v>
      </c>
      <c r="K102" s="102">
        <f>+'Mat y mano obra'!C4</f>
        <v>20142</v>
      </c>
      <c r="L102" s="102">
        <f>+K102*J102</f>
        <v>111.07720588235294</v>
      </c>
    </row>
    <row r="103" spans="2:14" s="247" customFormat="1" ht="15.75" x14ac:dyDescent="0.25">
      <c r="B103" s="242"/>
      <c r="C103" s="253" t="s">
        <v>110</v>
      </c>
      <c r="D103" s="233"/>
      <c r="E103" s="235"/>
      <c r="F103" s="235"/>
      <c r="G103" s="204"/>
      <c r="H103" s="236"/>
      <c r="I103" s="252" t="s">
        <v>26</v>
      </c>
      <c r="J103" s="106">
        <v>10</v>
      </c>
      <c r="K103" s="102"/>
      <c r="L103" s="102">
        <f>+L100*J103%</f>
        <v>3.7452205882352945</v>
      </c>
    </row>
    <row r="104" spans="2:14" s="247" customFormat="1" ht="16.5" thickBot="1" x14ac:dyDescent="0.3">
      <c r="B104" s="243"/>
      <c r="C104" s="153" t="s">
        <v>49</v>
      </c>
      <c r="D104" s="237"/>
      <c r="E104" s="238"/>
      <c r="F104" s="238"/>
      <c r="G104" s="207"/>
      <c r="H104" s="239"/>
      <c r="I104" s="262" t="s">
        <v>26</v>
      </c>
      <c r="J104" s="106">
        <v>57</v>
      </c>
      <c r="K104" s="102"/>
      <c r="L104" s="102">
        <f>+(L102+L100)*J104%</f>
        <v>84.661764705882348</v>
      </c>
    </row>
    <row r="105" spans="2:14" s="247" customFormat="1" ht="15.75" x14ac:dyDescent="0.25">
      <c r="B105" s="249"/>
      <c r="C105" s="250"/>
      <c r="D105" s="249"/>
      <c r="E105" s="249"/>
      <c r="F105" s="248"/>
      <c r="G105" s="248"/>
      <c r="H105" s="248"/>
      <c r="I105" s="248"/>
      <c r="J105" s="249"/>
    </row>
    <row r="106" spans="2:14" s="247" customFormat="1" ht="16.5" thickBot="1" x14ac:dyDescent="0.3">
      <c r="B106" s="249"/>
      <c r="C106" s="250"/>
      <c r="D106" s="249"/>
      <c r="E106" s="249"/>
      <c r="F106" s="248"/>
      <c r="G106" s="248"/>
      <c r="H106" s="248"/>
      <c r="I106" s="248"/>
      <c r="J106" s="249"/>
    </row>
    <row r="107" spans="2:14" s="247" customFormat="1" ht="15.75" thickBot="1" x14ac:dyDescent="0.3">
      <c r="B107" s="66" t="s">
        <v>0</v>
      </c>
      <c r="C107" s="144" t="s">
        <v>1</v>
      </c>
      <c r="D107" s="632"/>
      <c r="E107" s="633"/>
      <c r="F107" s="633"/>
      <c r="G107" s="633"/>
      <c r="H107" s="634"/>
      <c r="I107" s="145" t="s">
        <v>5</v>
      </c>
      <c r="J107" s="67" t="s">
        <v>6</v>
      </c>
      <c r="K107" s="67" t="s">
        <v>7</v>
      </c>
      <c r="L107" s="140" t="s">
        <v>8</v>
      </c>
    </row>
    <row r="108" spans="2:14" s="247" customFormat="1" ht="15.75" x14ac:dyDescent="0.25">
      <c r="B108" s="241"/>
      <c r="C108" s="606" t="s">
        <v>173</v>
      </c>
      <c r="D108" s="635" t="s">
        <v>2</v>
      </c>
      <c r="E108" s="637" t="s">
        <v>3</v>
      </c>
      <c r="F108" s="639" t="s">
        <v>4</v>
      </c>
      <c r="G108" s="640"/>
      <c r="H108" s="641"/>
      <c r="I108" s="624" t="s">
        <v>10</v>
      </c>
      <c r="J108" s="626">
        <v>1</v>
      </c>
      <c r="K108" s="628"/>
      <c r="L108" s="654">
        <f>+SUM(L110:L116)</f>
        <v>1298.1065126050419</v>
      </c>
      <c r="N108" s="302">
        <f>+L108</f>
        <v>1298.1065126050419</v>
      </c>
    </row>
    <row r="109" spans="2:14" s="247" customFormat="1" ht="15.75" x14ac:dyDescent="0.25">
      <c r="B109" s="242"/>
      <c r="C109" s="607"/>
      <c r="D109" s="636"/>
      <c r="E109" s="638"/>
      <c r="F109" s="642"/>
      <c r="G109" s="643"/>
      <c r="H109" s="644"/>
      <c r="I109" s="625"/>
      <c r="J109" s="627"/>
      <c r="K109" s="629"/>
      <c r="L109" s="655">
        <v>15685.891</v>
      </c>
    </row>
    <row r="110" spans="2:14" s="247" customFormat="1" ht="15.75" x14ac:dyDescent="0.25">
      <c r="B110" s="242"/>
      <c r="C110" s="150" t="s">
        <v>174</v>
      </c>
      <c r="D110" s="233">
        <v>1</v>
      </c>
      <c r="E110" s="235">
        <f>+rendimiento!D34</f>
        <v>28</v>
      </c>
      <c r="F110" s="235" t="s">
        <v>10</v>
      </c>
      <c r="G110" s="204" t="s">
        <v>14</v>
      </c>
      <c r="H110" s="236" t="s">
        <v>105</v>
      </c>
      <c r="I110" s="252" t="s">
        <v>105</v>
      </c>
      <c r="J110" s="186">
        <f>+D110/E110/D110</f>
        <v>3.5714285714285712E-2</v>
      </c>
      <c r="K110" s="226">
        <f>+'Mat y mano obra'!C15</f>
        <v>32556</v>
      </c>
      <c r="L110" s="228">
        <f>+K110*J110</f>
        <v>1162.7142857142856</v>
      </c>
    </row>
    <row r="111" spans="2:14" s="247" customFormat="1" ht="15.75" x14ac:dyDescent="0.25">
      <c r="B111" s="242"/>
      <c r="C111" s="150" t="s">
        <v>175</v>
      </c>
      <c r="D111" s="233"/>
      <c r="E111" s="235"/>
      <c r="F111" s="235"/>
      <c r="G111" s="204"/>
      <c r="H111" s="236"/>
      <c r="I111" s="252"/>
      <c r="J111" s="186"/>
      <c r="K111" s="226"/>
      <c r="L111" s="228"/>
    </row>
    <row r="112" spans="2:14" s="247" customFormat="1" ht="15.75" x14ac:dyDescent="0.25">
      <c r="B112" s="242"/>
      <c r="C112" s="150" t="s">
        <v>176</v>
      </c>
      <c r="D112" s="233">
        <v>0.5</v>
      </c>
      <c r="E112" s="235">
        <f>+E110*8.5/D112</f>
        <v>476</v>
      </c>
      <c r="F112" s="235" t="s">
        <v>10</v>
      </c>
      <c r="G112" s="204" t="s">
        <v>14</v>
      </c>
      <c r="H112" s="236" t="s">
        <v>15</v>
      </c>
      <c r="I112" s="252" t="s">
        <v>15</v>
      </c>
      <c r="J112" s="186">
        <f>+D112/E112/D112</f>
        <v>2.1008403361344537E-3</v>
      </c>
      <c r="K112" s="102">
        <f>+'Mat y mano obra'!C8</f>
        <v>10187</v>
      </c>
      <c r="L112" s="228">
        <f>+K112*J112</f>
        <v>21.40126050420168</v>
      </c>
    </row>
    <row r="113" spans="2:14" s="247" customFormat="1" ht="15.75" x14ac:dyDescent="0.25">
      <c r="B113" s="242"/>
      <c r="C113" s="150" t="s">
        <v>153</v>
      </c>
      <c r="D113" s="233"/>
      <c r="E113" s="235"/>
      <c r="F113" s="235"/>
      <c r="G113" s="204"/>
      <c r="H113" s="236"/>
      <c r="I113" s="252"/>
      <c r="J113" s="186"/>
      <c r="K113" s="102"/>
      <c r="L113" s="228"/>
    </row>
    <row r="114" spans="2:14" s="247" customFormat="1" ht="15.75" x14ac:dyDescent="0.25">
      <c r="B114" s="242"/>
      <c r="C114" s="150" t="s">
        <v>147</v>
      </c>
      <c r="D114" s="233">
        <v>0.75</v>
      </c>
      <c r="E114" s="235">
        <f>+E112*D112/D114</f>
        <v>317.33333333333331</v>
      </c>
      <c r="F114" s="235" t="s">
        <v>10</v>
      </c>
      <c r="G114" s="204" t="s">
        <v>14</v>
      </c>
      <c r="H114" s="236" t="s">
        <v>15</v>
      </c>
      <c r="I114" s="252" t="s">
        <v>15</v>
      </c>
      <c r="J114" s="186">
        <f>+D114/E114/D114</f>
        <v>3.1512605042016812E-3</v>
      </c>
      <c r="K114" s="102">
        <f>+'Mat y mano obra'!C4</f>
        <v>20142</v>
      </c>
      <c r="L114" s="228">
        <f>+K114*J114</f>
        <v>63.472689075630264</v>
      </c>
    </row>
    <row r="115" spans="2:14" s="247" customFormat="1" ht="15.75" x14ac:dyDescent="0.25">
      <c r="B115" s="242"/>
      <c r="C115" s="253" t="s">
        <v>110</v>
      </c>
      <c r="D115" s="233"/>
      <c r="E115" s="235"/>
      <c r="F115" s="235"/>
      <c r="G115" s="204"/>
      <c r="H115" s="236"/>
      <c r="I115" s="252" t="s">
        <v>26</v>
      </c>
      <c r="J115" s="106">
        <v>10</v>
      </c>
      <c r="K115" s="102"/>
      <c r="L115" s="228">
        <f>+L112*J115%</f>
        <v>2.140126050420168</v>
      </c>
    </row>
    <row r="116" spans="2:14" s="247" customFormat="1" ht="16.5" thickBot="1" x14ac:dyDescent="0.3">
      <c r="B116" s="243"/>
      <c r="C116" s="153" t="s">
        <v>49</v>
      </c>
      <c r="D116" s="237"/>
      <c r="E116" s="238"/>
      <c r="F116" s="238"/>
      <c r="G116" s="207"/>
      <c r="H116" s="239"/>
      <c r="I116" s="262" t="s">
        <v>26</v>
      </c>
      <c r="J116" s="64">
        <v>57</v>
      </c>
      <c r="K116" s="65"/>
      <c r="L116" s="229">
        <f>+(L114+L112)*J116%</f>
        <v>48.378151260504204</v>
      </c>
    </row>
    <row r="117" spans="2:14" s="247" customFormat="1" ht="15.75" x14ac:dyDescent="0.25">
      <c r="B117" s="240"/>
      <c r="C117" s="188"/>
      <c r="D117" s="270"/>
      <c r="E117" s="270"/>
      <c r="F117" s="270"/>
      <c r="G117" s="201"/>
      <c r="H117" s="270"/>
      <c r="I117" s="270"/>
      <c r="J117" s="187"/>
      <c r="K117" s="189"/>
      <c r="L117" s="189"/>
    </row>
    <row r="118" spans="2:14" s="247" customFormat="1" ht="16.5" thickBot="1" x14ac:dyDescent="0.3">
      <c r="B118" s="240"/>
      <c r="C118" s="188"/>
      <c r="D118" s="270"/>
      <c r="E118" s="270"/>
      <c r="F118" s="270"/>
      <c r="G118" s="201"/>
      <c r="H118" s="270"/>
      <c r="I118" s="270"/>
      <c r="J118" s="187"/>
      <c r="K118" s="189"/>
      <c r="L118" s="189"/>
    </row>
    <row r="119" spans="2:14" s="247" customFormat="1" ht="15.75" thickBot="1" x14ac:dyDescent="0.3">
      <c r="B119" s="222" t="s">
        <v>0</v>
      </c>
      <c r="C119" s="266" t="s">
        <v>1</v>
      </c>
      <c r="D119" s="632"/>
      <c r="E119" s="633"/>
      <c r="F119" s="633"/>
      <c r="G119" s="633"/>
      <c r="H119" s="634"/>
      <c r="I119" s="267" t="s">
        <v>5</v>
      </c>
      <c r="J119" s="223" t="s">
        <v>6</v>
      </c>
      <c r="K119" s="223" t="s">
        <v>7</v>
      </c>
      <c r="L119" s="268" t="s">
        <v>8</v>
      </c>
    </row>
    <row r="120" spans="2:14" s="247" customFormat="1" ht="15.75" x14ac:dyDescent="0.25">
      <c r="B120" s="191"/>
      <c r="C120" s="658" t="s">
        <v>166</v>
      </c>
      <c r="D120" s="660" t="s">
        <v>2</v>
      </c>
      <c r="E120" s="662" t="s">
        <v>3</v>
      </c>
      <c r="F120" s="664" t="s">
        <v>4</v>
      </c>
      <c r="G120" s="664"/>
      <c r="H120" s="665"/>
      <c r="I120" s="624" t="s">
        <v>10</v>
      </c>
      <c r="J120" s="626">
        <v>1</v>
      </c>
      <c r="K120" s="656"/>
      <c r="L120" s="654">
        <f>+SUM(L122:L134)</f>
        <v>890.28951260504198</v>
      </c>
      <c r="N120" s="302">
        <f>+L120</f>
        <v>890.28951260504198</v>
      </c>
    </row>
    <row r="121" spans="2:14" s="247" customFormat="1" ht="15.75" x14ac:dyDescent="0.25">
      <c r="B121" s="241"/>
      <c r="C121" s="659"/>
      <c r="D121" s="661"/>
      <c r="E121" s="663"/>
      <c r="F121" s="666"/>
      <c r="G121" s="666"/>
      <c r="H121" s="667"/>
      <c r="I121" s="625"/>
      <c r="J121" s="627"/>
      <c r="K121" s="657"/>
      <c r="L121" s="655">
        <v>15685.891</v>
      </c>
    </row>
    <row r="122" spans="2:14" s="247" customFormat="1" ht="15.75" x14ac:dyDescent="0.25">
      <c r="B122" s="242"/>
      <c r="C122" s="150" t="s">
        <v>154</v>
      </c>
      <c r="D122" s="233"/>
      <c r="E122" s="235"/>
      <c r="F122" s="235"/>
      <c r="G122" s="204"/>
      <c r="H122" s="236"/>
      <c r="I122" s="269"/>
      <c r="J122" s="186"/>
      <c r="K122" s="102"/>
      <c r="L122" s="228"/>
    </row>
    <row r="123" spans="2:14" s="247" customFormat="1" ht="15.75" x14ac:dyDescent="0.25">
      <c r="B123" s="242"/>
      <c r="C123" s="150" t="s">
        <v>155</v>
      </c>
      <c r="D123" s="233"/>
      <c r="E123" s="235"/>
      <c r="F123" s="235"/>
      <c r="G123" s="204"/>
      <c r="H123" s="236"/>
      <c r="I123" s="269"/>
      <c r="J123" s="186"/>
      <c r="K123" s="102"/>
      <c r="L123" s="228"/>
    </row>
    <row r="124" spans="2:14" s="247" customFormat="1" ht="15.75" x14ac:dyDescent="0.25">
      <c r="B124" s="242"/>
      <c r="C124" s="150" t="s">
        <v>156</v>
      </c>
      <c r="D124" s="233"/>
      <c r="E124" s="235"/>
      <c r="F124" s="235"/>
      <c r="G124" s="204"/>
      <c r="H124" s="236"/>
      <c r="I124" s="269"/>
      <c r="J124" s="186"/>
      <c r="K124" s="102"/>
      <c r="L124" s="228"/>
    </row>
    <row r="125" spans="2:14" s="247" customFormat="1" ht="15.75" x14ac:dyDescent="0.25">
      <c r="B125" s="242"/>
      <c r="C125" s="150" t="s">
        <v>157</v>
      </c>
      <c r="D125" s="233">
        <v>1</v>
      </c>
      <c r="E125" s="235">
        <f>+rendimiento!D35</f>
        <v>70</v>
      </c>
      <c r="F125" s="235" t="s">
        <v>10</v>
      </c>
      <c r="G125" s="204" t="s">
        <v>14</v>
      </c>
      <c r="H125" s="236" t="s">
        <v>105</v>
      </c>
      <c r="I125" s="252" t="s">
        <v>105</v>
      </c>
      <c r="J125" s="186">
        <f>+D125/E125/D125</f>
        <v>1.4285714285714285E-2</v>
      </c>
      <c r="K125" s="226">
        <f>+'Mat y mano obra'!C17</f>
        <v>37000</v>
      </c>
      <c r="L125" s="228">
        <f>+K125*J125</f>
        <v>528.57142857142856</v>
      </c>
    </row>
    <row r="126" spans="2:14" s="247" customFormat="1" ht="15.75" x14ac:dyDescent="0.25">
      <c r="B126" s="242"/>
      <c r="C126" s="253" t="s">
        <v>158</v>
      </c>
      <c r="D126" s="233">
        <v>1</v>
      </c>
      <c r="E126" s="235">
        <f>+E125*8.5</f>
        <v>595</v>
      </c>
      <c r="F126" s="235" t="s">
        <v>10</v>
      </c>
      <c r="G126" s="204" t="s">
        <v>14</v>
      </c>
      <c r="H126" s="236" t="s">
        <v>15</v>
      </c>
      <c r="I126" s="252" t="s">
        <v>15</v>
      </c>
      <c r="J126" s="186">
        <f>+D126/E126/D126</f>
        <v>1.6806722689075631E-3</v>
      </c>
      <c r="K126" s="226">
        <f>+'Mat y mano obra'!C18</f>
        <v>47501</v>
      </c>
      <c r="L126" s="228">
        <f>+K126*J126</f>
        <v>79.833613445378163</v>
      </c>
    </row>
    <row r="127" spans="2:14" s="247" customFormat="1" ht="15.75" x14ac:dyDescent="0.25">
      <c r="B127" s="242"/>
      <c r="C127" s="150" t="s">
        <v>159</v>
      </c>
      <c r="D127" s="233"/>
      <c r="E127" s="235"/>
      <c r="F127" s="235"/>
      <c r="G127" s="204"/>
      <c r="H127" s="236"/>
      <c r="I127" s="252"/>
      <c r="J127" s="186"/>
      <c r="K127" s="102"/>
      <c r="L127" s="228"/>
    </row>
    <row r="128" spans="2:14" s="247" customFormat="1" ht="15.75" x14ac:dyDescent="0.25">
      <c r="B128" s="242"/>
      <c r="C128" s="253" t="s">
        <v>160</v>
      </c>
      <c r="D128" s="233"/>
      <c r="E128" s="235"/>
      <c r="F128" s="235"/>
      <c r="G128" s="204"/>
      <c r="H128" s="236"/>
      <c r="I128" s="252"/>
      <c r="J128" s="186"/>
      <c r="K128" s="102"/>
      <c r="L128" s="228"/>
    </row>
    <row r="129" spans="2:12" s="247" customFormat="1" ht="15.75" x14ac:dyDescent="0.25">
      <c r="B129" s="242"/>
      <c r="C129" s="150" t="s">
        <v>161</v>
      </c>
      <c r="D129" s="233">
        <v>1</v>
      </c>
      <c r="E129" s="235">
        <f>+E125*8.5</f>
        <v>595</v>
      </c>
      <c r="F129" s="235" t="s">
        <v>10</v>
      </c>
      <c r="G129" s="204" t="s">
        <v>14</v>
      </c>
      <c r="H129" s="236" t="s">
        <v>15</v>
      </c>
      <c r="I129" s="252" t="s">
        <v>15</v>
      </c>
      <c r="J129" s="186">
        <f>+D129/E129/D129</f>
        <v>1.6806722689075631E-3</v>
      </c>
      <c r="K129" s="102">
        <f>+'Mat y mano obra'!C8</f>
        <v>10187</v>
      </c>
      <c r="L129" s="228">
        <f>+K129*J129</f>
        <v>17.121008403361344</v>
      </c>
    </row>
    <row r="130" spans="2:12" s="247" customFormat="1" ht="15.75" x14ac:dyDescent="0.25">
      <c r="B130" s="242"/>
      <c r="C130" s="150" t="s">
        <v>109</v>
      </c>
      <c r="D130" s="233">
        <v>7</v>
      </c>
      <c r="E130" s="235">
        <f>+E129/7</f>
        <v>85</v>
      </c>
      <c r="F130" s="235" t="s">
        <v>10</v>
      </c>
      <c r="G130" s="204" t="s">
        <v>14</v>
      </c>
      <c r="H130" s="236" t="s">
        <v>35</v>
      </c>
      <c r="I130" s="252" t="s">
        <v>35</v>
      </c>
      <c r="J130" s="186">
        <f>+D130/E130/D130</f>
        <v>1.1764705882352941E-2</v>
      </c>
      <c r="K130" s="102">
        <f>+'Mat y mano obra'!C8</f>
        <v>10187</v>
      </c>
      <c r="L130" s="228">
        <f>+K130*J130</f>
        <v>119.84705882352941</v>
      </c>
    </row>
    <row r="131" spans="2:12" s="247" customFormat="1" ht="15.75" x14ac:dyDescent="0.25">
      <c r="B131" s="242"/>
      <c r="C131" s="150" t="s">
        <v>162</v>
      </c>
      <c r="D131" s="233"/>
      <c r="E131" s="235"/>
      <c r="F131" s="235"/>
      <c r="G131" s="204"/>
      <c r="H131" s="236"/>
      <c r="I131" s="252"/>
      <c r="J131" s="106"/>
      <c r="K131" s="102"/>
      <c r="L131" s="228"/>
    </row>
    <row r="132" spans="2:12" s="247" customFormat="1" ht="15.75" x14ac:dyDescent="0.25">
      <c r="B132" s="242"/>
      <c r="C132" s="150" t="s">
        <v>110</v>
      </c>
      <c r="D132" s="233"/>
      <c r="E132" s="235"/>
      <c r="F132" s="235"/>
      <c r="G132" s="204"/>
      <c r="H132" s="236"/>
      <c r="I132" s="252" t="s">
        <v>26</v>
      </c>
      <c r="J132" s="106">
        <v>10</v>
      </c>
      <c r="K132" s="102"/>
      <c r="L132" s="228">
        <f>+(L130+L129)*J132%</f>
        <v>13.696806722689075</v>
      </c>
    </row>
    <row r="133" spans="2:12" s="247" customFormat="1" ht="15.75" x14ac:dyDescent="0.25">
      <c r="B133" s="242"/>
      <c r="C133" s="150" t="s">
        <v>37</v>
      </c>
      <c r="D133" s="233">
        <v>1</v>
      </c>
      <c r="E133" s="235">
        <f>+E129</f>
        <v>595</v>
      </c>
      <c r="F133" s="235" t="s">
        <v>10</v>
      </c>
      <c r="G133" s="204" t="s">
        <v>14</v>
      </c>
      <c r="H133" s="236" t="s">
        <v>15</v>
      </c>
      <c r="I133" s="252" t="s">
        <v>15</v>
      </c>
      <c r="J133" s="186">
        <f>+D133/E133/D133</f>
        <v>1.6806722689075631E-3</v>
      </c>
      <c r="K133" s="102">
        <f>+'Mat y mano obra'!C4</f>
        <v>20142</v>
      </c>
      <c r="L133" s="228">
        <f>+K133*J133</f>
        <v>33.852100840336135</v>
      </c>
    </row>
    <row r="134" spans="2:12" s="247" customFormat="1" ht="16.5" thickBot="1" x14ac:dyDescent="0.3">
      <c r="B134" s="243"/>
      <c r="C134" s="153" t="s">
        <v>49</v>
      </c>
      <c r="D134" s="237"/>
      <c r="E134" s="238"/>
      <c r="F134" s="238"/>
      <c r="G134" s="207"/>
      <c r="H134" s="239"/>
      <c r="I134" s="262" t="s">
        <v>26</v>
      </c>
      <c r="J134" s="64">
        <v>57</v>
      </c>
      <c r="K134" s="65"/>
      <c r="L134" s="229">
        <f>+(L133+L130+L129)*J134%</f>
        <v>97.367495798319311</v>
      </c>
    </row>
    <row r="135" spans="2:12" s="247" customFormat="1" ht="15.75" x14ac:dyDescent="0.25">
      <c r="B135" s="240"/>
      <c r="C135" s="188"/>
      <c r="D135" s="270"/>
      <c r="E135" s="270"/>
      <c r="F135" s="270"/>
      <c r="G135" s="201"/>
      <c r="H135" s="270"/>
      <c r="I135" s="270"/>
      <c r="J135" s="187"/>
      <c r="K135" s="189"/>
      <c r="L135" s="189"/>
    </row>
    <row r="136" spans="2:12" s="247" customFormat="1" ht="15.75" thickBot="1" x14ac:dyDescent="0.3"/>
    <row r="137" spans="2:12" s="247" customFormat="1" ht="15.75" thickBot="1" x14ac:dyDescent="0.3">
      <c r="B137" s="271" t="s">
        <v>0</v>
      </c>
      <c r="C137" s="272" t="s">
        <v>1</v>
      </c>
      <c r="D137" s="648"/>
      <c r="E137" s="649"/>
      <c r="F137" s="649"/>
      <c r="G137" s="649"/>
      <c r="H137" s="650"/>
      <c r="I137" s="273" t="s">
        <v>5</v>
      </c>
      <c r="J137" s="274" t="s">
        <v>6</v>
      </c>
      <c r="K137" s="274" t="s">
        <v>7</v>
      </c>
      <c r="L137" s="275" t="s">
        <v>8</v>
      </c>
    </row>
    <row r="138" spans="2:12" x14ac:dyDescent="0.25">
      <c r="B138" s="276"/>
      <c r="C138" s="277" t="s">
        <v>170</v>
      </c>
      <c r="D138" s="278" t="s">
        <v>2</v>
      </c>
      <c r="E138" s="279" t="s">
        <v>3</v>
      </c>
      <c r="F138" s="651" t="s">
        <v>4</v>
      </c>
      <c r="G138" s="652"/>
      <c r="H138" s="653"/>
      <c r="I138" s="252" t="s">
        <v>10</v>
      </c>
      <c r="J138" s="235">
        <v>1</v>
      </c>
      <c r="K138" s="280"/>
      <c r="L138" s="281">
        <f>+SUM(L139:L142)</f>
        <v>1681.7114705882352</v>
      </c>
    </row>
    <row r="139" spans="2:12" ht="15.75" x14ac:dyDescent="0.25">
      <c r="B139" s="282"/>
      <c r="C139" s="283" t="s">
        <v>150</v>
      </c>
      <c r="D139" s="233">
        <v>1</v>
      </c>
      <c r="E139" s="235">
        <f>+rendimiento!D36</f>
        <v>102</v>
      </c>
      <c r="F139" s="235"/>
      <c r="G139" s="284"/>
      <c r="H139" s="236"/>
      <c r="I139" s="252" t="s">
        <v>15</v>
      </c>
      <c r="J139" s="234">
        <f>+D139/E139/D139</f>
        <v>9.8039215686274508E-3</v>
      </c>
      <c r="K139" s="285">
        <f>+'Mat y mano obra'!C16</f>
        <v>145000</v>
      </c>
      <c r="L139" s="286">
        <f>+K139*J139</f>
        <v>1421.5686274509803</v>
      </c>
    </row>
    <row r="140" spans="2:12" ht="15.75" x14ac:dyDescent="0.25">
      <c r="B140" s="282"/>
      <c r="C140" s="283" t="s">
        <v>171</v>
      </c>
      <c r="D140" s="233">
        <v>1</v>
      </c>
      <c r="E140" s="235">
        <f>+E139</f>
        <v>102</v>
      </c>
      <c r="F140" s="235"/>
      <c r="G140" s="284"/>
      <c r="H140" s="236"/>
      <c r="I140" s="252" t="s">
        <v>15</v>
      </c>
      <c r="J140" s="234">
        <f>+D140/E140/D140</f>
        <v>9.8039215686274508E-3</v>
      </c>
      <c r="K140" s="286">
        <f>+'Mat y mano obra'!C8</f>
        <v>10187</v>
      </c>
      <c r="L140" s="286">
        <f>+K140*J140</f>
        <v>99.872549019607845</v>
      </c>
    </row>
    <row r="141" spans="2:12" ht="15.75" x14ac:dyDescent="0.25">
      <c r="B141" s="282"/>
      <c r="C141" s="283" t="s">
        <v>168</v>
      </c>
      <c r="D141" s="233">
        <f>1/3</f>
        <v>0.33333333333333331</v>
      </c>
      <c r="E141" s="235">
        <f>+E139/D141</f>
        <v>306</v>
      </c>
      <c r="F141" s="235"/>
      <c r="G141" s="284"/>
      <c r="H141" s="236"/>
      <c r="I141" s="252" t="s">
        <v>169</v>
      </c>
      <c r="J141" s="234">
        <f>+D141/E141/D141</f>
        <v>3.26797385620915E-3</v>
      </c>
      <c r="K141" s="286">
        <f>+'Mat y mano obra'!C4</f>
        <v>20142</v>
      </c>
      <c r="L141" s="286">
        <f>+K141*J141</f>
        <v>65.823529411764696</v>
      </c>
    </row>
    <row r="142" spans="2:12" ht="16.5" thickBot="1" x14ac:dyDescent="0.3">
      <c r="B142" s="287"/>
      <c r="C142" s="288" t="s">
        <v>49</v>
      </c>
      <c r="D142" s="237"/>
      <c r="E142" s="238"/>
      <c r="F142" s="238"/>
      <c r="G142" s="289"/>
      <c r="H142" s="239"/>
      <c r="I142" s="262" t="s">
        <v>26</v>
      </c>
      <c r="J142" s="235">
        <v>57</v>
      </c>
      <c r="K142" s="286" t="s">
        <v>27</v>
      </c>
      <c r="L142" s="286">
        <f>+(L141+L140)*J142%</f>
        <v>94.446764705882345</v>
      </c>
    </row>
    <row r="144" spans="2:12" ht="15.75" thickBot="1" x14ac:dyDescent="0.3"/>
    <row r="145" spans="2:12" ht="15.75" thickBot="1" x14ac:dyDescent="0.3">
      <c r="B145" s="271" t="s">
        <v>0</v>
      </c>
      <c r="C145" s="272" t="s">
        <v>1</v>
      </c>
      <c r="D145" s="648"/>
      <c r="E145" s="649"/>
      <c r="F145" s="649"/>
      <c r="G145" s="649"/>
      <c r="H145" s="650"/>
      <c r="I145" s="273" t="s">
        <v>5</v>
      </c>
      <c r="J145" s="274" t="s">
        <v>6</v>
      </c>
      <c r="K145" s="274" t="s">
        <v>7</v>
      </c>
      <c r="L145" s="275" t="s">
        <v>8</v>
      </c>
    </row>
    <row r="146" spans="2:12" x14ac:dyDescent="0.25">
      <c r="B146" s="276"/>
      <c r="C146" s="277" t="s">
        <v>172</v>
      </c>
      <c r="D146" s="278" t="s">
        <v>2</v>
      </c>
      <c r="E146" s="279" t="s">
        <v>3</v>
      </c>
      <c r="F146" s="651" t="s">
        <v>4</v>
      </c>
      <c r="G146" s="652"/>
      <c r="H146" s="653"/>
      <c r="I146" s="252" t="s">
        <v>10</v>
      </c>
      <c r="J146" s="235">
        <v>1</v>
      </c>
      <c r="K146" s="280"/>
      <c r="L146" s="281">
        <f>+SUM(L147:L150)</f>
        <v>840.85573529411761</v>
      </c>
    </row>
    <row r="147" spans="2:12" ht="15.75" x14ac:dyDescent="0.25">
      <c r="B147" s="282"/>
      <c r="C147" s="150" t="s">
        <v>140</v>
      </c>
      <c r="D147" s="233">
        <v>1</v>
      </c>
      <c r="E147" s="235">
        <f>+rendimiento!D37</f>
        <v>204</v>
      </c>
      <c r="F147" s="235"/>
      <c r="G147" s="284"/>
      <c r="H147" s="236"/>
      <c r="I147" s="252" t="s">
        <v>15</v>
      </c>
      <c r="J147" s="234">
        <f>+D147/E147/D147</f>
        <v>4.9019607843137254E-3</v>
      </c>
      <c r="K147" s="285">
        <f>+'Mat y mano obra'!C16</f>
        <v>145000</v>
      </c>
      <c r="L147" s="286">
        <f>+K147*J147</f>
        <v>710.78431372549016</v>
      </c>
    </row>
    <row r="148" spans="2:12" ht="15.75" x14ac:dyDescent="0.25">
      <c r="B148" s="282"/>
      <c r="C148" s="283" t="s">
        <v>171</v>
      </c>
      <c r="D148" s="233">
        <v>1</v>
      </c>
      <c r="E148" s="235">
        <f>+E147</f>
        <v>204</v>
      </c>
      <c r="F148" s="235"/>
      <c r="G148" s="284"/>
      <c r="H148" s="236"/>
      <c r="I148" s="252" t="s">
        <v>15</v>
      </c>
      <c r="J148" s="234">
        <f>+D148/E148/D148</f>
        <v>4.9019607843137254E-3</v>
      </c>
      <c r="K148" s="286">
        <f>+'Mat y mano obra'!C8</f>
        <v>10187</v>
      </c>
      <c r="L148" s="286">
        <f>+K148*J148</f>
        <v>49.936274509803923</v>
      </c>
    </row>
    <row r="149" spans="2:12" ht="15.75" x14ac:dyDescent="0.25">
      <c r="B149" s="282"/>
      <c r="C149" s="283" t="s">
        <v>168</v>
      </c>
      <c r="D149" s="233">
        <f>1/3</f>
        <v>0.33333333333333331</v>
      </c>
      <c r="E149" s="235">
        <f>+E148/D149</f>
        <v>612</v>
      </c>
      <c r="F149" s="235"/>
      <c r="G149" s="284"/>
      <c r="H149" s="236"/>
      <c r="I149" s="252" t="s">
        <v>169</v>
      </c>
      <c r="J149" s="234">
        <f>+D149/E149/D149</f>
        <v>1.633986928104575E-3</v>
      </c>
      <c r="K149" s="286">
        <f>+'Mat y mano obra'!C4</f>
        <v>20142</v>
      </c>
      <c r="L149" s="286">
        <f>+K149*J149</f>
        <v>32.911764705882348</v>
      </c>
    </row>
    <row r="150" spans="2:12" ht="16.5" thickBot="1" x14ac:dyDescent="0.3">
      <c r="B150" s="287"/>
      <c r="C150" s="288" t="s">
        <v>49</v>
      </c>
      <c r="D150" s="237"/>
      <c r="E150" s="238"/>
      <c r="F150" s="238"/>
      <c r="G150" s="289"/>
      <c r="H150" s="239"/>
      <c r="I150" s="262" t="s">
        <v>26</v>
      </c>
      <c r="J150" s="235">
        <v>57</v>
      </c>
      <c r="K150" s="286" t="s">
        <v>27</v>
      </c>
      <c r="L150" s="286">
        <f>+(L149+L148)*J150%</f>
        <v>47.223382352941172</v>
      </c>
    </row>
    <row r="152" spans="2:12" ht="15.75" thickBot="1" x14ac:dyDescent="0.3"/>
    <row r="153" spans="2:12" ht="15.75" thickBot="1" x14ac:dyDescent="0.3">
      <c r="B153" s="222" t="s">
        <v>0</v>
      </c>
      <c r="C153" s="223" t="s">
        <v>1</v>
      </c>
      <c r="D153" s="224"/>
      <c r="E153" s="224"/>
      <c r="F153" s="224"/>
      <c r="G153" s="224"/>
      <c r="H153" s="224"/>
      <c r="I153" s="224" t="s">
        <v>5</v>
      </c>
      <c r="J153" s="224" t="s">
        <v>6</v>
      </c>
      <c r="K153" s="224" t="s">
        <v>7</v>
      </c>
      <c r="L153" s="225" t="s">
        <v>8</v>
      </c>
    </row>
    <row r="154" spans="2:12" ht="15.75" thickBot="1" x14ac:dyDescent="0.3">
      <c r="B154" s="209"/>
      <c r="C154" s="208" t="s">
        <v>227</v>
      </c>
      <c r="D154" s="194" t="s">
        <v>2</v>
      </c>
      <c r="E154" s="195" t="s">
        <v>3</v>
      </c>
      <c r="F154" s="645" t="s">
        <v>4</v>
      </c>
      <c r="G154" s="646"/>
      <c r="H154" s="647"/>
      <c r="I154" s="205" t="s">
        <v>10</v>
      </c>
      <c r="J154" s="205">
        <v>1</v>
      </c>
      <c r="K154" s="205"/>
      <c r="L154" s="210">
        <f>+SUM(L155:L165)</f>
        <v>3119.808</v>
      </c>
    </row>
    <row r="155" spans="2:12" x14ac:dyDescent="0.25">
      <c r="B155" s="123"/>
      <c r="C155" s="214" t="s">
        <v>108</v>
      </c>
      <c r="D155" s="124"/>
      <c r="E155" s="124">
        <f>+rendimiento!D38</f>
        <v>20</v>
      </c>
      <c r="F155" s="124" t="s">
        <v>10</v>
      </c>
      <c r="G155" s="124" t="s">
        <v>14</v>
      </c>
      <c r="H155" s="124" t="s">
        <v>15</v>
      </c>
      <c r="I155" s="124" t="s">
        <v>15</v>
      </c>
      <c r="J155" s="211"/>
      <c r="K155" s="124"/>
      <c r="L155" s="227"/>
    </row>
    <row r="156" spans="2:12" x14ac:dyDescent="0.25">
      <c r="B156" s="109"/>
      <c r="C156" s="215" t="s">
        <v>109</v>
      </c>
      <c r="D156" s="106">
        <v>1.5</v>
      </c>
      <c r="E156" s="106">
        <f>+E155/D156</f>
        <v>13.333333333333334</v>
      </c>
      <c r="F156" s="106" t="s">
        <v>10</v>
      </c>
      <c r="G156" s="106" t="s">
        <v>14</v>
      </c>
      <c r="H156" s="106" t="s">
        <v>15</v>
      </c>
      <c r="I156" s="106" t="s">
        <v>35</v>
      </c>
      <c r="J156" s="186">
        <f>+D156/E156/D156</f>
        <v>7.4999999999999997E-2</v>
      </c>
      <c r="K156" s="106">
        <f>+'Mat y mano obra'!C8</f>
        <v>10187</v>
      </c>
      <c r="L156" s="228">
        <f>+K156*J156</f>
        <v>764.02499999999998</v>
      </c>
    </row>
    <row r="157" spans="2:12" x14ac:dyDescent="0.25">
      <c r="B157" s="109"/>
      <c r="C157" s="215" t="s">
        <v>110</v>
      </c>
      <c r="D157" s="106"/>
      <c r="E157" s="106"/>
      <c r="F157" s="106"/>
      <c r="G157" s="106"/>
      <c r="H157" s="106" t="s">
        <v>26</v>
      </c>
      <c r="I157" s="106"/>
      <c r="J157" s="219">
        <v>10</v>
      </c>
      <c r="K157" s="106"/>
      <c r="L157" s="228">
        <f>+L156*J157%</f>
        <v>76.402500000000003</v>
      </c>
    </row>
    <row r="158" spans="2:12" x14ac:dyDescent="0.25">
      <c r="B158" s="212"/>
      <c r="C158" s="216" t="s">
        <v>111</v>
      </c>
      <c r="D158" s="106"/>
      <c r="E158" s="106"/>
      <c r="F158" s="106"/>
      <c r="G158" s="106"/>
      <c r="H158" s="106"/>
      <c r="I158" s="106"/>
      <c r="J158" s="186"/>
      <c r="K158" s="106"/>
      <c r="L158" s="228"/>
    </row>
    <row r="159" spans="2:12" x14ac:dyDescent="0.25">
      <c r="B159" s="104"/>
      <c r="C159" s="217" t="s">
        <v>112</v>
      </c>
      <c r="D159" s="106">
        <v>1</v>
      </c>
      <c r="E159" s="106">
        <f>+E155*1.2</f>
        <v>24</v>
      </c>
      <c r="F159" s="106" t="s">
        <v>10</v>
      </c>
      <c r="G159" s="106" t="s">
        <v>14</v>
      </c>
      <c r="H159" s="106" t="s">
        <v>15</v>
      </c>
      <c r="I159" s="106" t="s">
        <v>15</v>
      </c>
      <c r="J159" s="186">
        <f>+D159/E159/D159</f>
        <v>4.1666666666666664E-2</v>
      </c>
      <c r="K159" s="226">
        <f>+'Mat y mano obra'!C14</f>
        <v>15000</v>
      </c>
      <c r="L159" s="228">
        <f>+K159*J159</f>
        <v>625</v>
      </c>
    </row>
    <row r="160" spans="2:12" x14ac:dyDescent="0.25">
      <c r="B160" s="104"/>
      <c r="C160" s="217" t="s">
        <v>137</v>
      </c>
      <c r="D160" s="106"/>
      <c r="E160" s="106"/>
      <c r="F160" s="106"/>
      <c r="G160" s="106"/>
      <c r="H160" s="106"/>
      <c r="I160" s="106"/>
      <c r="J160" s="186"/>
      <c r="K160" s="102"/>
      <c r="L160" s="228"/>
    </row>
    <row r="161" spans="2:12" x14ac:dyDescent="0.25">
      <c r="B161" s="104"/>
      <c r="C161" s="217" t="s">
        <v>113</v>
      </c>
      <c r="D161" s="106">
        <v>1</v>
      </c>
      <c r="E161" s="106">
        <f>+E159*5</f>
        <v>120</v>
      </c>
      <c r="F161" s="106" t="s">
        <v>10</v>
      </c>
      <c r="G161" s="106" t="s">
        <v>14</v>
      </c>
      <c r="H161" s="106" t="s">
        <v>15</v>
      </c>
      <c r="I161" s="106" t="s">
        <v>15</v>
      </c>
      <c r="J161" s="186">
        <f>+D161/E161/D161</f>
        <v>8.3333333333333332E-3</v>
      </c>
      <c r="K161" s="102">
        <f>+'Mat y mano obra'!C10</f>
        <v>8500</v>
      </c>
      <c r="L161" s="228">
        <f>+K161*J161</f>
        <v>70.833333333333329</v>
      </c>
    </row>
    <row r="162" spans="2:12" x14ac:dyDescent="0.25">
      <c r="B162" s="109"/>
      <c r="C162" s="215" t="s">
        <v>138</v>
      </c>
      <c r="D162" s="106">
        <v>1</v>
      </c>
      <c r="E162" s="106">
        <f>+E159</f>
        <v>24</v>
      </c>
      <c r="F162" s="106" t="s">
        <v>10</v>
      </c>
      <c r="G162" s="106" t="s">
        <v>14</v>
      </c>
      <c r="H162" s="106" t="s">
        <v>15</v>
      </c>
      <c r="I162" s="106" t="s">
        <v>15</v>
      </c>
      <c r="J162" s="186">
        <f>+D162/E162/D162</f>
        <v>4.1666666666666664E-2</v>
      </c>
      <c r="K162" s="102">
        <f>+'Mat y mano obra'!C8</f>
        <v>10187</v>
      </c>
      <c r="L162" s="228">
        <f>+K162*J162</f>
        <v>424.45833333333331</v>
      </c>
    </row>
    <row r="163" spans="2:12" ht="15.75" thickBot="1" x14ac:dyDescent="0.3">
      <c r="B163" s="109"/>
      <c r="C163" s="215" t="s">
        <v>110</v>
      </c>
      <c r="D163" s="106"/>
      <c r="E163" s="106"/>
      <c r="F163" s="106"/>
      <c r="G163" s="106"/>
      <c r="H163" s="106" t="s">
        <v>26</v>
      </c>
      <c r="I163" s="106"/>
      <c r="J163" s="219">
        <v>10</v>
      </c>
      <c r="K163" s="65" t="s">
        <v>27</v>
      </c>
      <c r="L163" s="228">
        <f>+L162*J163%</f>
        <v>42.445833333333333</v>
      </c>
    </row>
    <row r="164" spans="2:12" x14ac:dyDescent="0.25">
      <c r="B164" s="212"/>
      <c r="C164" s="216" t="s">
        <v>116</v>
      </c>
      <c r="D164" s="221">
        <f>1/3</f>
        <v>0.33333333333333331</v>
      </c>
      <c r="E164" s="106">
        <f>+E162/D164</f>
        <v>72</v>
      </c>
      <c r="F164" s="106" t="s">
        <v>10</v>
      </c>
      <c r="G164" s="106" t="s">
        <v>14</v>
      </c>
      <c r="H164" s="106" t="s">
        <v>15</v>
      </c>
      <c r="I164" s="106" t="s">
        <v>15</v>
      </c>
      <c r="J164" s="186">
        <f>+D164/E164/D164</f>
        <v>1.3888888888888888E-2</v>
      </c>
      <c r="K164" s="102">
        <f>+'Mat y mano obra'!C4</f>
        <v>20142</v>
      </c>
      <c r="L164" s="228">
        <f>+K164*J164</f>
        <v>279.75</v>
      </c>
    </row>
    <row r="165" spans="2:12" ht="15.75" thickBot="1" x14ac:dyDescent="0.3">
      <c r="B165" s="70"/>
      <c r="C165" s="218" t="s">
        <v>49</v>
      </c>
      <c r="D165" s="64"/>
      <c r="E165" s="64"/>
      <c r="F165" s="64"/>
      <c r="G165" s="64"/>
      <c r="H165" s="64" t="s">
        <v>26</v>
      </c>
      <c r="I165" s="64"/>
      <c r="J165" s="220">
        <v>57</v>
      </c>
      <c r="K165" s="213"/>
      <c r="L165" s="229">
        <f>+(L164+L162+L156)*J165%</f>
        <v>836.8929999999998</v>
      </c>
    </row>
    <row r="168" spans="2:12" ht="15.75" thickBot="1" x14ac:dyDescent="0.3"/>
    <row r="169" spans="2:12" ht="15.75" thickBot="1" x14ac:dyDescent="0.3">
      <c r="B169" s="66" t="s">
        <v>0</v>
      </c>
      <c r="C169" s="144" t="s">
        <v>1</v>
      </c>
      <c r="D169" s="632"/>
      <c r="E169" s="633"/>
      <c r="F169" s="633"/>
      <c r="G169" s="633"/>
      <c r="H169" s="634"/>
      <c r="I169" s="145" t="s">
        <v>5</v>
      </c>
      <c r="J169" s="67" t="s">
        <v>6</v>
      </c>
      <c r="K169" s="67" t="s">
        <v>7</v>
      </c>
      <c r="L169" s="140" t="s">
        <v>8</v>
      </c>
    </row>
    <row r="170" spans="2:12" ht="15.75" x14ac:dyDescent="0.25">
      <c r="B170" s="241"/>
      <c r="C170" s="606" t="s">
        <v>165</v>
      </c>
      <c r="D170" s="635" t="s">
        <v>2</v>
      </c>
      <c r="E170" s="637" t="s">
        <v>3</v>
      </c>
      <c r="F170" s="639" t="s">
        <v>4</v>
      </c>
      <c r="G170" s="640"/>
      <c r="H170" s="641"/>
      <c r="I170" s="624" t="s">
        <v>10</v>
      </c>
      <c r="J170" s="626">
        <v>1</v>
      </c>
      <c r="K170" s="628"/>
      <c r="L170" s="630">
        <f>+SUM(L172:L178)</f>
        <v>6199.6242647058816</v>
      </c>
    </row>
    <row r="171" spans="2:12" ht="15.75" x14ac:dyDescent="0.25">
      <c r="B171" s="242"/>
      <c r="C171" s="607"/>
      <c r="D171" s="636"/>
      <c r="E171" s="638"/>
      <c r="F171" s="642"/>
      <c r="G171" s="643"/>
      <c r="H171" s="644"/>
      <c r="I171" s="625"/>
      <c r="J171" s="627"/>
      <c r="K171" s="629"/>
      <c r="L171" s="631">
        <v>15685.891</v>
      </c>
    </row>
    <row r="172" spans="2:12" ht="15.75" x14ac:dyDescent="0.25">
      <c r="B172" s="242"/>
      <c r="C172" s="150" t="s">
        <v>150</v>
      </c>
      <c r="D172" s="233">
        <v>1</v>
      </c>
      <c r="E172" s="235">
        <v>24</v>
      </c>
      <c r="F172" s="235" t="s">
        <v>10</v>
      </c>
      <c r="G172" s="204" t="s">
        <v>14</v>
      </c>
      <c r="H172" s="236" t="s">
        <v>105</v>
      </c>
      <c r="I172" s="252" t="s">
        <v>105</v>
      </c>
      <c r="J172" s="186">
        <f>+D172/E172/D172</f>
        <v>4.1666666666666664E-2</v>
      </c>
      <c r="K172" s="226">
        <f>+'Mat y mano obra'!C16</f>
        <v>145000</v>
      </c>
      <c r="L172" s="102">
        <f>+K172*J172</f>
        <v>6041.6666666666661</v>
      </c>
    </row>
    <row r="173" spans="2:12" ht="15.75" x14ac:dyDescent="0.25">
      <c r="B173" s="242"/>
      <c r="C173" s="150" t="s">
        <v>151</v>
      </c>
      <c r="D173" s="233"/>
      <c r="E173" s="235"/>
      <c r="F173" s="235"/>
      <c r="G173" s="204"/>
      <c r="H173" s="236"/>
      <c r="I173" s="252"/>
      <c r="J173" s="186"/>
      <c r="K173" s="102"/>
      <c r="L173" s="102"/>
    </row>
    <row r="174" spans="2:12" ht="15.75" x14ac:dyDescent="0.25">
      <c r="B174" s="242"/>
      <c r="C174" s="150" t="s">
        <v>152</v>
      </c>
      <c r="D174" s="233">
        <v>0.5</v>
      </c>
      <c r="E174" s="235">
        <f>+E172*8.5/D174</f>
        <v>408</v>
      </c>
      <c r="F174" s="235" t="s">
        <v>10</v>
      </c>
      <c r="G174" s="204" t="s">
        <v>14</v>
      </c>
      <c r="H174" s="236" t="s">
        <v>15</v>
      </c>
      <c r="I174" s="252" t="s">
        <v>15</v>
      </c>
      <c r="J174" s="186">
        <f>+D174/E174/D174</f>
        <v>2.4509803921568627E-3</v>
      </c>
      <c r="K174" s="102">
        <f>+'Mat y mano obra'!C8</f>
        <v>10187</v>
      </c>
      <c r="L174" s="102">
        <f>+K174*J174</f>
        <v>24.968137254901961</v>
      </c>
    </row>
    <row r="175" spans="2:12" ht="15.75" x14ac:dyDescent="0.25">
      <c r="B175" s="242"/>
      <c r="C175" s="150" t="s">
        <v>153</v>
      </c>
      <c r="D175" s="233"/>
      <c r="E175" s="235"/>
      <c r="F175" s="235"/>
      <c r="G175" s="204"/>
      <c r="H175" s="236"/>
      <c r="I175" s="252"/>
      <c r="J175" s="186"/>
      <c r="K175" s="102"/>
      <c r="L175" s="102"/>
    </row>
    <row r="176" spans="2:12" ht="15.75" x14ac:dyDescent="0.25">
      <c r="B176" s="242"/>
      <c r="C176" s="150" t="s">
        <v>147</v>
      </c>
      <c r="D176" s="233">
        <v>0.75</v>
      </c>
      <c r="E176" s="235">
        <f>+E174*D174/D176</f>
        <v>272</v>
      </c>
      <c r="F176" s="235" t="s">
        <v>10</v>
      </c>
      <c r="G176" s="204" t="s">
        <v>14</v>
      </c>
      <c r="H176" s="236" t="s">
        <v>15</v>
      </c>
      <c r="I176" s="252" t="s">
        <v>15</v>
      </c>
      <c r="J176" s="186">
        <f>+D176/E176/D176</f>
        <v>3.6764705882352945E-3</v>
      </c>
      <c r="K176" s="102">
        <f>+'Mat y mano obra'!C4</f>
        <v>20142</v>
      </c>
      <c r="L176" s="102">
        <f>+K176*J176</f>
        <v>74.051470588235304</v>
      </c>
    </row>
    <row r="177" spans="2:12" ht="15.75" x14ac:dyDescent="0.25">
      <c r="B177" s="242"/>
      <c r="C177" s="253" t="s">
        <v>110</v>
      </c>
      <c r="D177" s="233"/>
      <c r="E177" s="235"/>
      <c r="F177" s="235"/>
      <c r="G177" s="204"/>
      <c r="H177" s="236"/>
      <c r="I177" s="252" t="s">
        <v>26</v>
      </c>
      <c r="J177" s="106">
        <v>10</v>
      </c>
      <c r="K177" s="102"/>
      <c r="L177" s="102">
        <f>+L174*J177%</f>
        <v>2.4968137254901963</v>
      </c>
    </row>
    <row r="178" spans="2:12" ht="16.5" thickBot="1" x14ac:dyDescent="0.3">
      <c r="B178" s="243"/>
      <c r="C178" s="153" t="s">
        <v>49</v>
      </c>
      <c r="D178" s="237"/>
      <c r="E178" s="238"/>
      <c r="F178" s="238"/>
      <c r="G178" s="207"/>
      <c r="H178" s="239"/>
      <c r="I178" s="262" t="s">
        <v>26</v>
      </c>
      <c r="J178" s="106">
        <v>57</v>
      </c>
      <c r="K178" s="102"/>
      <c r="L178" s="102">
        <f>+(L176+L174)*J178%</f>
        <v>56.441176470588239</v>
      </c>
    </row>
  </sheetData>
  <mergeCells count="60">
    <mergeCell ref="C84:C85"/>
    <mergeCell ref="D84:D85"/>
    <mergeCell ref="E84:E85"/>
    <mergeCell ref="F84:H85"/>
    <mergeCell ref="F4:H4"/>
    <mergeCell ref="F15:H15"/>
    <mergeCell ref="F24:H24"/>
    <mergeCell ref="F33:H33"/>
    <mergeCell ref="D47:H47"/>
    <mergeCell ref="F48:H48"/>
    <mergeCell ref="D62:H62"/>
    <mergeCell ref="F63:H63"/>
    <mergeCell ref="D72:H72"/>
    <mergeCell ref="F73:H73"/>
    <mergeCell ref="D83:H83"/>
    <mergeCell ref="I84:I85"/>
    <mergeCell ref="J84:J85"/>
    <mergeCell ref="K84:K85"/>
    <mergeCell ref="L84:L85"/>
    <mergeCell ref="D95:H95"/>
    <mergeCell ref="J96:J97"/>
    <mergeCell ref="K96:K97"/>
    <mergeCell ref="L96:L97"/>
    <mergeCell ref="D107:H107"/>
    <mergeCell ref="C108:C109"/>
    <mergeCell ref="D108:D109"/>
    <mergeCell ref="E108:E109"/>
    <mergeCell ref="F108:H109"/>
    <mergeCell ref="I108:I109"/>
    <mergeCell ref="J108:J109"/>
    <mergeCell ref="C96:C97"/>
    <mergeCell ref="D96:D97"/>
    <mergeCell ref="E96:E97"/>
    <mergeCell ref="F96:H97"/>
    <mergeCell ref="I96:I97"/>
    <mergeCell ref="K108:K109"/>
    <mergeCell ref="C120:C121"/>
    <mergeCell ref="D120:D121"/>
    <mergeCell ref="E120:E121"/>
    <mergeCell ref="F120:H121"/>
    <mergeCell ref="I120:I121"/>
    <mergeCell ref="D137:H137"/>
    <mergeCell ref="F138:H138"/>
    <mergeCell ref="D145:H145"/>
    <mergeCell ref="F146:H146"/>
    <mergeCell ref="L108:L109"/>
    <mergeCell ref="D119:H119"/>
    <mergeCell ref="J120:J121"/>
    <mergeCell ref="K120:K121"/>
    <mergeCell ref="L120:L121"/>
    <mergeCell ref="C170:C171"/>
    <mergeCell ref="D170:D171"/>
    <mergeCell ref="E170:E171"/>
    <mergeCell ref="F170:H171"/>
    <mergeCell ref="F154:H154"/>
    <mergeCell ref="I170:I171"/>
    <mergeCell ref="J170:J171"/>
    <mergeCell ref="K170:K171"/>
    <mergeCell ref="L170:L171"/>
    <mergeCell ref="D169:H169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B2:N178"/>
  <sheetViews>
    <sheetView topLeftCell="A150" workbookViewId="0">
      <selection activeCell="E173" sqref="E173"/>
    </sheetView>
  </sheetViews>
  <sheetFormatPr baseColWidth="10" defaultRowHeight="15" x14ac:dyDescent="0.25"/>
  <cols>
    <col min="2" max="2" width="7.7109375" bestFit="1" customWidth="1"/>
    <col min="3" max="3" width="52.7109375" bestFit="1" customWidth="1"/>
    <col min="4" max="4" width="6.140625" bestFit="1" customWidth="1"/>
    <col min="5" max="5" width="9.14062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5703125" bestFit="1" customWidth="1"/>
    <col min="11" max="11" width="6.5703125" bestFit="1" customWidth="1"/>
    <col min="12" max="12" width="9.5703125" bestFit="1" customWidth="1"/>
  </cols>
  <sheetData>
    <row r="2" spans="2:12" ht="15.75" thickBot="1" x14ac:dyDescent="0.3"/>
    <row r="3" spans="2:12" ht="15.75" thickBot="1" x14ac:dyDescent="0.3">
      <c r="B3" s="66" t="s">
        <v>0</v>
      </c>
      <c r="C3" s="67" t="s">
        <v>1</v>
      </c>
      <c r="D3" s="68"/>
      <c r="E3" s="68"/>
      <c r="F3" s="68"/>
      <c r="G3" s="68"/>
      <c r="H3" s="68"/>
      <c r="I3" s="67" t="s">
        <v>5</v>
      </c>
      <c r="J3" s="67" t="s">
        <v>6</v>
      </c>
      <c r="K3" s="67" t="s">
        <v>7</v>
      </c>
      <c r="L3" s="69" t="s">
        <v>8</v>
      </c>
    </row>
    <row r="4" spans="2:12" ht="15.75" thickBot="1" x14ac:dyDescent="0.3">
      <c r="B4" s="70"/>
      <c r="C4" s="71" t="s">
        <v>102</v>
      </c>
      <c r="D4" s="99" t="s">
        <v>2</v>
      </c>
      <c r="E4" s="100" t="s">
        <v>3</v>
      </c>
      <c r="F4" s="621" t="s">
        <v>4</v>
      </c>
      <c r="G4" s="622"/>
      <c r="H4" s="623"/>
      <c r="I4" s="72" t="s">
        <v>10</v>
      </c>
      <c r="J4" s="72">
        <v>1</v>
      </c>
      <c r="K4" s="65"/>
      <c r="L4" s="139">
        <f>+SUM(L5:L11)</f>
        <v>2322.1577124183009</v>
      </c>
    </row>
    <row r="5" spans="2:12" x14ac:dyDescent="0.25">
      <c r="B5" s="133"/>
      <c r="C5" s="134"/>
      <c r="D5" s="135"/>
      <c r="E5" s="135">
        <f>+rendimiento!C25</f>
        <v>9</v>
      </c>
      <c r="F5" s="135"/>
      <c r="G5" s="135"/>
      <c r="H5" s="135"/>
      <c r="I5" s="136"/>
      <c r="J5" s="136"/>
      <c r="K5" s="137"/>
      <c r="L5" s="103"/>
    </row>
    <row r="6" spans="2:12" x14ac:dyDescent="0.25">
      <c r="B6" s="104"/>
      <c r="C6" s="105" t="s">
        <v>103</v>
      </c>
      <c r="D6" s="106"/>
      <c r="E6" s="106"/>
      <c r="F6" s="106"/>
      <c r="G6" s="106"/>
      <c r="H6" s="106"/>
      <c r="I6" s="106"/>
      <c r="J6" s="106"/>
      <c r="K6" s="102"/>
      <c r="L6" s="110"/>
    </row>
    <row r="7" spans="2:12" x14ac:dyDescent="0.25">
      <c r="B7" s="109"/>
      <c r="C7" s="111" t="s">
        <v>104</v>
      </c>
      <c r="D7" s="106">
        <v>1</v>
      </c>
      <c r="E7" s="106">
        <f>+E5</f>
        <v>9</v>
      </c>
      <c r="F7" s="106" t="s">
        <v>10</v>
      </c>
      <c r="G7" s="106" t="s">
        <v>14</v>
      </c>
      <c r="H7" s="106" t="s">
        <v>105</v>
      </c>
      <c r="I7" s="106" t="s">
        <v>105</v>
      </c>
      <c r="J7" s="186">
        <f>+D7/E7/D7</f>
        <v>0.1111111111111111</v>
      </c>
      <c r="K7" s="102">
        <f>+'Mat y mano obra'!D13</f>
        <v>17029</v>
      </c>
      <c r="L7" s="110">
        <f>+K7*J7</f>
        <v>1892.1111111111111</v>
      </c>
    </row>
    <row r="8" spans="2:12" x14ac:dyDescent="0.25">
      <c r="B8" s="109"/>
      <c r="C8" s="111" t="s">
        <v>106</v>
      </c>
      <c r="D8" s="106">
        <v>1</v>
      </c>
      <c r="E8" s="106">
        <f>+E5*8.5</f>
        <v>76.5</v>
      </c>
      <c r="F8" s="106" t="s">
        <v>10</v>
      </c>
      <c r="G8" s="106" t="s">
        <v>14</v>
      </c>
      <c r="H8" s="106" t="s">
        <v>15</v>
      </c>
      <c r="I8" s="106" t="s">
        <v>15</v>
      </c>
      <c r="J8" s="186">
        <f>+D8/E8/D8</f>
        <v>1.3071895424836602E-2</v>
      </c>
      <c r="K8" s="102">
        <f>+'Mat y mano obra'!D8</f>
        <v>10187</v>
      </c>
      <c r="L8" s="110">
        <f>+K8*J8</f>
        <v>133.16339869281046</v>
      </c>
    </row>
    <row r="9" spans="2:12" x14ac:dyDescent="0.25">
      <c r="B9" s="109"/>
      <c r="C9" s="111" t="s">
        <v>130</v>
      </c>
      <c r="D9" s="106"/>
      <c r="E9" s="106"/>
      <c r="F9" s="106"/>
      <c r="G9" s="106"/>
      <c r="H9" s="106"/>
      <c r="I9" s="106"/>
      <c r="J9" s="186"/>
      <c r="K9" s="102"/>
      <c r="L9" s="110"/>
    </row>
    <row r="10" spans="2:12" x14ac:dyDescent="0.25">
      <c r="B10" s="109"/>
      <c r="C10" s="111" t="s">
        <v>107</v>
      </c>
      <c r="D10" s="106">
        <v>0.5</v>
      </c>
      <c r="E10" s="106">
        <f>+E5*2*8.5</f>
        <v>153</v>
      </c>
      <c r="F10" s="106" t="s">
        <v>10</v>
      </c>
      <c r="G10" s="106" t="s">
        <v>14</v>
      </c>
      <c r="H10" s="106" t="s">
        <v>15</v>
      </c>
      <c r="I10" s="106" t="s">
        <v>15</v>
      </c>
      <c r="J10" s="186">
        <f>+D10/E10/D10</f>
        <v>6.5359477124183009E-3</v>
      </c>
      <c r="K10" s="102">
        <f>+'Mat y mano obra'!D4</f>
        <v>21535</v>
      </c>
      <c r="L10" s="110">
        <f>+K10*J10</f>
        <v>140.75163398692811</v>
      </c>
    </row>
    <row r="11" spans="2:12" ht="15.75" thickBot="1" x14ac:dyDescent="0.3">
      <c r="B11" s="112"/>
      <c r="C11" s="113" t="s">
        <v>49</v>
      </c>
      <c r="D11" s="64"/>
      <c r="E11" s="64"/>
      <c r="F11" s="64"/>
      <c r="G11" s="64"/>
      <c r="H11" s="64"/>
      <c r="I11" s="64" t="s">
        <v>26</v>
      </c>
      <c r="J11" s="64">
        <v>57</v>
      </c>
      <c r="K11" s="65" t="s">
        <v>27</v>
      </c>
      <c r="L11" s="114">
        <f>+(L10+L8)*J11%</f>
        <v>156.131568627451</v>
      </c>
    </row>
    <row r="12" spans="2:12" x14ac:dyDescent="0.25">
      <c r="B12" s="187"/>
      <c r="C12" s="188"/>
      <c r="D12" s="187"/>
      <c r="E12" s="187"/>
      <c r="F12" s="187"/>
      <c r="G12" s="187"/>
      <c r="H12" s="187"/>
      <c r="I12" s="187"/>
      <c r="J12" s="187"/>
      <c r="K12" s="189"/>
      <c r="L12" s="190"/>
    </row>
    <row r="13" spans="2:12" ht="15.75" thickBot="1" x14ac:dyDescent="0.3">
      <c r="B13" s="187"/>
      <c r="C13" s="188"/>
      <c r="D13" s="187"/>
      <c r="E13" s="187"/>
      <c r="F13" s="187"/>
      <c r="G13" s="187"/>
      <c r="H13" s="187"/>
      <c r="I13" s="187"/>
      <c r="J13" s="187"/>
      <c r="K13" s="189"/>
      <c r="L13" s="190"/>
    </row>
    <row r="14" spans="2:12" ht="15.75" thickBot="1" x14ac:dyDescent="0.3">
      <c r="B14" s="66" t="s">
        <v>0</v>
      </c>
      <c r="C14" s="67" t="s">
        <v>1</v>
      </c>
      <c r="D14" s="68"/>
      <c r="E14" s="68"/>
      <c r="F14" s="68"/>
      <c r="G14" s="68"/>
      <c r="H14" s="68"/>
      <c r="I14" s="68" t="s">
        <v>5</v>
      </c>
      <c r="J14" s="68" t="s">
        <v>6</v>
      </c>
      <c r="K14" s="68" t="s">
        <v>7</v>
      </c>
      <c r="L14" s="68" t="s">
        <v>8</v>
      </c>
    </row>
    <row r="15" spans="2:12" ht="15.75" thickBot="1" x14ac:dyDescent="0.3">
      <c r="B15" s="192"/>
      <c r="C15" s="193" t="s">
        <v>136</v>
      </c>
      <c r="D15" s="194" t="s">
        <v>2</v>
      </c>
      <c r="E15" s="195" t="s">
        <v>3</v>
      </c>
      <c r="F15" s="645" t="s">
        <v>4</v>
      </c>
      <c r="G15" s="646"/>
      <c r="H15" s="647"/>
      <c r="I15" s="198" t="s">
        <v>10</v>
      </c>
      <c r="J15" s="198">
        <v>1</v>
      </c>
      <c r="K15" s="198"/>
      <c r="L15" s="139">
        <f>+SUM(L17:L20)</f>
        <v>5665.6530952380954</v>
      </c>
    </row>
    <row r="16" spans="2:12" x14ac:dyDescent="0.25">
      <c r="B16" s="196"/>
      <c r="C16" s="197" t="s">
        <v>131</v>
      </c>
      <c r="D16" s="124"/>
      <c r="E16" s="124">
        <f>+rendimiento!C26</f>
        <v>3.5</v>
      </c>
      <c r="F16" s="124"/>
      <c r="G16" s="124"/>
      <c r="H16" s="124"/>
      <c r="I16" s="124"/>
      <c r="J16" s="124"/>
      <c r="K16" s="124"/>
      <c r="L16" s="175"/>
    </row>
    <row r="17" spans="2:12" x14ac:dyDescent="0.25">
      <c r="B17" s="104"/>
      <c r="C17" s="105" t="s">
        <v>132</v>
      </c>
      <c r="D17" s="106">
        <v>1</v>
      </c>
      <c r="E17" s="106">
        <f>+E16</f>
        <v>3.5</v>
      </c>
      <c r="F17" s="106" t="s">
        <v>10</v>
      </c>
      <c r="G17" s="106" t="s">
        <v>14</v>
      </c>
      <c r="H17" s="106" t="s">
        <v>15</v>
      </c>
      <c r="I17" s="106" t="s">
        <v>15</v>
      </c>
      <c r="J17" s="186">
        <f>+D17/E17/D17</f>
        <v>0.2857142857142857</v>
      </c>
      <c r="K17" s="106">
        <f>+'Mat y mano obra'!D8</f>
        <v>10187</v>
      </c>
      <c r="L17" s="110">
        <f>+K17*J17</f>
        <v>2910.5714285714284</v>
      </c>
    </row>
    <row r="18" spans="2:12" x14ac:dyDescent="0.25">
      <c r="B18" s="109"/>
      <c r="C18" s="111" t="s">
        <v>110</v>
      </c>
      <c r="D18" s="106"/>
      <c r="E18" s="106"/>
      <c r="F18" s="106"/>
      <c r="G18" s="106"/>
      <c r="H18" s="106"/>
      <c r="I18" s="106" t="s">
        <v>26</v>
      </c>
      <c r="J18" s="106">
        <v>10</v>
      </c>
      <c r="K18" s="106"/>
      <c r="L18" s="110">
        <f>+L17*J18%</f>
        <v>291.05714285714288</v>
      </c>
    </row>
    <row r="19" spans="2:12" x14ac:dyDescent="0.25">
      <c r="B19" s="109"/>
      <c r="C19" s="111" t="s">
        <v>133</v>
      </c>
      <c r="D19" s="106">
        <f>1/12</f>
        <v>8.3333333333333329E-2</v>
      </c>
      <c r="E19" s="106">
        <f>+E16*12</f>
        <v>42</v>
      </c>
      <c r="F19" s="106" t="s">
        <v>10</v>
      </c>
      <c r="G19" s="106" t="s">
        <v>14</v>
      </c>
      <c r="H19" s="106" t="s">
        <v>15</v>
      </c>
      <c r="I19" s="106" t="s">
        <v>15</v>
      </c>
      <c r="J19" s="186">
        <f>+D19/E19/D19</f>
        <v>2.3809523809523808E-2</v>
      </c>
      <c r="K19" s="106">
        <f>+'Mat y mano obra'!D4</f>
        <v>21535</v>
      </c>
      <c r="L19" s="110">
        <f>+K19*J19</f>
        <v>512.73809523809518</v>
      </c>
    </row>
    <row r="20" spans="2:12" ht="15.75" thickBot="1" x14ac:dyDescent="0.3">
      <c r="B20" s="112"/>
      <c r="C20" s="113" t="s">
        <v>49</v>
      </c>
      <c r="D20" s="64"/>
      <c r="E20" s="64"/>
      <c r="F20" s="64"/>
      <c r="G20" s="64"/>
      <c r="H20" s="64"/>
      <c r="I20" s="64" t="s">
        <v>26</v>
      </c>
      <c r="J20" s="64">
        <v>57</v>
      </c>
      <c r="K20" s="64"/>
      <c r="L20" s="114">
        <f>+(L19+L17)*J20%</f>
        <v>1951.2864285714284</v>
      </c>
    </row>
    <row r="21" spans="2:12" x14ac:dyDescent="0.25">
      <c r="B21" s="187"/>
      <c r="C21" s="188"/>
      <c r="D21" s="187"/>
      <c r="E21" s="187"/>
      <c r="F21" s="187"/>
      <c r="G21" s="187"/>
      <c r="H21" s="187"/>
      <c r="I21" s="187"/>
      <c r="J21" s="187"/>
      <c r="K21" s="187"/>
      <c r="L21" s="190"/>
    </row>
    <row r="22" spans="2:12" ht="15.75" thickBot="1" x14ac:dyDescent="0.3">
      <c r="B22" s="187"/>
      <c r="C22" s="188"/>
      <c r="D22" s="187"/>
      <c r="E22" s="187"/>
      <c r="F22" s="187"/>
      <c r="G22" s="187"/>
      <c r="H22" s="187"/>
      <c r="I22" s="187"/>
      <c r="J22" s="187"/>
      <c r="K22" s="187"/>
      <c r="L22" s="190"/>
    </row>
    <row r="23" spans="2:12" ht="15.75" thickBot="1" x14ac:dyDescent="0.3">
      <c r="B23" s="66" t="s">
        <v>0</v>
      </c>
      <c r="C23" s="67" t="s">
        <v>1</v>
      </c>
      <c r="D23" s="68"/>
      <c r="E23" s="68"/>
      <c r="F23" s="68"/>
      <c r="G23" s="68"/>
      <c r="H23" s="68"/>
      <c r="I23" s="68" t="s">
        <v>5</v>
      </c>
      <c r="J23" s="68" t="s">
        <v>6</v>
      </c>
      <c r="K23" s="68" t="s">
        <v>7</v>
      </c>
      <c r="L23" s="68" t="s">
        <v>8</v>
      </c>
    </row>
    <row r="24" spans="2:12" ht="15.75" thickBot="1" x14ac:dyDescent="0.3">
      <c r="B24" s="192"/>
      <c r="C24" s="193" t="s">
        <v>135</v>
      </c>
      <c r="D24" s="194" t="s">
        <v>2</v>
      </c>
      <c r="E24" s="195" t="s">
        <v>3</v>
      </c>
      <c r="F24" s="645" t="s">
        <v>4</v>
      </c>
      <c r="G24" s="646"/>
      <c r="H24" s="647"/>
      <c r="I24" s="198" t="s">
        <v>10</v>
      </c>
      <c r="J24" s="198">
        <v>1</v>
      </c>
      <c r="K24" s="198"/>
      <c r="L24" s="139">
        <f>+SUM(L26:L29)</f>
        <v>9914.8929166666676</v>
      </c>
    </row>
    <row r="25" spans="2:12" x14ac:dyDescent="0.25">
      <c r="B25" s="196"/>
      <c r="C25" s="197" t="s">
        <v>134</v>
      </c>
      <c r="D25" s="124"/>
      <c r="E25" s="124">
        <f>+rendimiento!C27</f>
        <v>2</v>
      </c>
      <c r="F25" s="124"/>
      <c r="G25" s="124"/>
      <c r="H25" s="124"/>
      <c r="I25" s="124"/>
      <c r="J25" s="124"/>
      <c r="K25" s="124"/>
      <c r="L25" s="175"/>
    </row>
    <row r="26" spans="2:12" x14ac:dyDescent="0.25">
      <c r="B26" s="104"/>
      <c r="C26" s="105" t="s">
        <v>132</v>
      </c>
      <c r="D26" s="106">
        <v>1</v>
      </c>
      <c r="E26" s="106">
        <f>+E25</f>
        <v>2</v>
      </c>
      <c r="F26" s="106" t="s">
        <v>10</v>
      </c>
      <c r="G26" s="106" t="s">
        <v>14</v>
      </c>
      <c r="H26" s="106" t="s">
        <v>15</v>
      </c>
      <c r="I26" s="106" t="s">
        <v>15</v>
      </c>
      <c r="J26" s="186">
        <f>+D26/E26/D26</f>
        <v>0.5</v>
      </c>
      <c r="K26" s="106">
        <f>+'Mat y mano obra'!D8</f>
        <v>10187</v>
      </c>
      <c r="L26" s="110">
        <f>+K26*J26</f>
        <v>5093.5</v>
      </c>
    </row>
    <row r="27" spans="2:12" x14ac:dyDescent="0.25">
      <c r="B27" s="109"/>
      <c r="C27" s="111" t="s">
        <v>110</v>
      </c>
      <c r="D27" s="106"/>
      <c r="E27" s="106"/>
      <c r="F27" s="106"/>
      <c r="G27" s="106"/>
      <c r="H27" s="106"/>
      <c r="I27" s="106" t="s">
        <v>26</v>
      </c>
      <c r="J27" s="106">
        <v>10</v>
      </c>
      <c r="K27" s="106"/>
      <c r="L27" s="110">
        <f>+L26*J27%</f>
        <v>509.35</v>
      </c>
    </row>
    <row r="28" spans="2:12" x14ac:dyDescent="0.25">
      <c r="B28" s="109"/>
      <c r="C28" s="111" t="s">
        <v>133</v>
      </c>
      <c r="D28" s="106">
        <f>1/12</f>
        <v>8.3333333333333329E-2</v>
      </c>
      <c r="E28" s="106">
        <f>+E25/D28</f>
        <v>24</v>
      </c>
      <c r="F28" s="106" t="s">
        <v>10</v>
      </c>
      <c r="G28" s="106" t="s">
        <v>14</v>
      </c>
      <c r="H28" s="106" t="s">
        <v>15</v>
      </c>
      <c r="I28" s="106" t="s">
        <v>15</v>
      </c>
      <c r="J28" s="186">
        <f>+D28/E28/D28</f>
        <v>4.1666666666666664E-2</v>
      </c>
      <c r="K28" s="106">
        <f>+'Mat y mano obra'!D4</f>
        <v>21535</v>
      </c>
      <c r="L28" s="110">
        <f>+K28*J28</f>
        <v>897.29166666666663</v>
      </c>
    </row>
    <row r="29" spans="2:12" ht="15.75" thickBot="1" x14ac:dyDescent="0.3">
      <c r="B29" s="112"/>
      <c r="C29" s="113" t="s">
        <v>49</v>
      </c>
      <c r="D29" s="64"/>
      <c r="E29" s="64"/>
      <c r="F29" s="64"/>
      <c r="G29" s="64"/>
      <c r="H29" s="64"/>
      <c r="I29" s="64" t="s">
        <v>26</v>
      </c>
      <c r="J29" s="64">
        <v>57</v>
      </c>
      <c r="K29" s="65" t="s">
        <v>27</v>
      </c>
      <c r="L29" s="114">
        <f>+(L28+L26)*J29%</f>
        <v>3414.7512499999998</v>
      </c>
    </row>
    <row r="30" spans="2:12" x14ac:dyDescent="0.25">
      <c r="B30" s="187"/>
      <c r="C30" s="188"/>
      <c r="D30" s="187"/>
      <c r="E30" s="187"/>
      <c r="F30" s="187"/>
      <c r="G30" s="187"/>
      <c r="H30" s="187"/>
      <c r="I30" s="187"/>
      <c r="J30" s="187"/>
      <c r="K30" s="187"/>
      <c r="L30" s="190"/>
    </row>
    <row r="31" spans="2:12" ht="15.75" thickBot="1" x14ac:dyDescent="0.3">
      <c r="B31" s="187"/>
      <c r="C31" s="188"/>
      <c r="D31" s="187"/>
      <c r="E31" s="187"/>
      <c r="F31" s="187"/>
      <c r="G31" s="187"/>
      <c r="H31" s="187"/>
      <c r="I31" s="187"/>
      <c r="J31" s="187"/>
      <c r="K31" s="187"/>
      <c r="L31" s="190"/>
    </row>
    <row r="32" spans="2:12" ht="15.75" thickBot="1" x14ac:dyDescent="0.3">
      <c r="B32" s="222" t="s">
        <v>0</v>
      </c>
      <c r="C32" s="223" t="s">
        <v>1</v>
      </c>
      <c r="D32" s="224"/>
      <c r="E32" s="224"/>
      <c r="F32" s="224"/>
      <c r="G32" s="224"/>
      <c r="H32" s="224"/>
      <c r="I32" s="224" t="s">
        <v>5</v>
      </c>
      <c r="J32" s="224" t="s">
        <v>6</v>
      </c>
      <c r="K32" s="224" t="s">
        <v>7</v>
      </c>
      <c r="L32" s="225" t="s">
        <v>8</v>
      </c>
    </row>
    <row r="33" spans="2:12" ht="15.75" thickBot="1" x14ac:dyDescent="0.3">
      <c r="B33" s="209"/>
      <c r="C33" s="208" t="s">
        <v>139</v>
      </c>
      <c r="D33" s="194" t="s">
        <v>2</v>
      </c>
      <c r="E33" s="195" t="s">
        <v>3</v>
      </c>
      <c r="F33" s="645" t="s">
        <v>4</v>
      </c>
      <c r="G33" s="646"/>
      <c r="H33" s="647"/>
      <c r="I33" s="205" t="s">
        <v>10</v>
      </c>
      <c r="J33" s="205">
        <v>1</v>
      </c>
      <c r="K33" s="205"/>
      <c r="L33" s="210">
        <f>+SUM(L34:L44)</f>
        <v>14881.554691358026</v>
      </c>
    </row>
    <row r="34" spans="2:12" x14ac:dyDescent="0.25">
      <c r="B34" s="123"/>
      <c r="C34" s="214" t="s">
        <v>108</v>
      </c>
      <c r="D34" s="124"/>
      <c r="E34" s="124">
        <f>+rendimiento!C28</f>
        <v>4.5</v>
      </c>
      <c r="F34" s="124" t="s">
        <v>10</v>
      </c>
      <c r="G34" s="124" t="s">
        <v>14</v>
      </c>
      <c r="H34" s="124" t="s">
        <v>15</v>
      </c>
      <c r="I34" s="124" t="s">
        <v>15</v>
      </c>
      <c r="J34" s="211"/>
      <c r="K34" s="124"/>
      <c r="L34" s="227"/>
    </row>
    <row r="35" spans="2:12" x14ac:dyDescent="0.25">
      <c r="B35" s="109"/>
      <c r="C35" s="215" t="s">
        <v>109</v>
      </c>
      <c r="D35" s="106">
        <v>1.5</v>
      </c>
      <c r="E35" s="106">
        <f>+E34/D35</f>
        <v>3</v>
      </c>
      <c r="F35" s="106" t="s">
        <v>10</v>
      </c>
      <c r="G35" s="106" t="s">
        <v>14</v>
      </c>
      <c r="H35" s="106" t="s">
        <v>15</v>
      </c>
      <c r="I35" s="106" t="s">
        <v>35</v>
      </c>
      <c r="J35" s="186">
        <f>+D35/E35/D35</f>
        <v>0.33333333333333331</v>
      </c>
      <c r="K35" s="106">
        <f>+'Mat y mano obra'!D8</f>
        <v>10187</v>
      </c>
      <c r="L35" s="228">
        <f>+K35*J35</f>
        <v>3395.6666666666665</v>
      </c>
    </row>
    <row r="36" spans="2:12" x14ac:dyDescent="0.25">
      <c r="B36" s="109"/>
      <c r="C36" s="215" t="s">
        <v>110</v>
      </c>
      <c r="D36" s="106"/>
      <c r="E36" s="106"/>
      <c r="F36" s="106"/>
      <c r="G36" s="106"/>
      <c r="H36" s="106" t="s">
        <v>26</v>
      </c>
      <c r="I36" s="106"/>
      <c r="J36" s="219">
        <v>10</v>
      </c>
      <c r="K36" s="106"/>
      <c r="L36" s="228">
        <f>+L35*J36%</f>
        <v>339.56666666666666</v>
      </c>
    </row>
    <row r="37" spans="2:12" x14ac:dyDescent="0.25">
      <c r="B37" s="212"/>
      <c r="C37" s="216" t="s">
        <v>111</v>
      </c>
      <c r="D37" s="106"/>
      <c r="E37" s="106"/>
      <c r="F37" s="106"/>
      <c r="G37" s="106"/>
      <c r="H37" s="106"/>
      <c r="I37" s="106"/>
      <c r="J37" s="186"/>
      <c r="K37" s="106"/>
      <c r="L37" s="228"/>
    </row>
    <row r="38" spans="2:12" x14ac:dyDescent="0.25">
      <c r="B38" s="104"/>
      <c r="C38" s="217" t="s">
        <v>112</v>
      </c>
      <c r="D38" s="106">
        <v>1</v>
      </c>
      <c r="E38" s="106">
        <f>+E34*1.2</f>
        <v>5.3999999999999995</v>
      </c>
      <c r="F38" s="106" t="s">
        <v>10</v>
      </c>
      <c r="G38" s="106" t="s">
        <v>14</v>
      </c>
      <c r="H38" s="106" t="s">
        <v>15</v>
      </c>
      <c r="I38" s="106" t="s">
        <v>15</v>
      </c>
      <c r="J38" s="186">
        <f>+D38/E38/D38</f>
        <v>0.1851851851851852</v>
      </c>
      <c r="K38" s="226">
        <f>+'Mat y mano obra'!D14</f>
        <v>19556</v>
      </c>
      <c r="L38" s="228">
        <f>+K38*J38</f>
        <v>3621.4814814814818</v>
      </c>
    </row>
    <row r="39" spans="2:12" x14ac:dyDescent="0.25">
      <c r="B39" s="104"/>
      <c r="C39" s="217" t="s">
        <v>137</v>
      </c>
      <c r="D39" s="106"/>
      <c r="E39" s="106"/>
      <c r="F39" s="106"/>
      <c r="G39" s="106"/>
      <c r="H39" s="106"/>
      <c r="I39" s="106"/>
      <c r="J39" s="186"/>
      <c r="K39" s="102"/>
      <c r="L39" s="228"/>
    </row>
    <row r="40" spans="2:12" x14ac:dyDescent="0.25">
      <c r="B40" s="104"/>
      <c r="C40" s="217" t="s">
        <v>113</v>
      </c>
      <c r="D40" s="106">
        <v>1</v>
      </c>
      <c r="E40" s="106">
        <f>+E38*5</f>
        <v>26.999999999999996</v>
      </c>
      <c r="F40" s="106" t="s">
        <v>10</v>
      </c>
      <c r="G40" s="106" t="s">
        <v>14</v>
      </c>
      <c r="H40" s="106" t="s">
        <v>15</v>
      </c>
      <c r="I40" s="106" t="s">
        <v>15</v>
      </c>
      <c r="J40" s="186">
        <f>+D40/E40/D40</f>
        <v>3.7037037037037042E-2</v>
      </c>
      <c r="K40" s="102">
        <f>+'Mat y mano obra'!D10</f>
        <v>9500</v>
      </c>
      <c r="L40" s="228">
        <f>+K40*J40</f>
        <v>351.8518518518519</v>
      </c>
    </row>
    <row r="41" spans="2:12" x14ac:dyDescent="0.25">
      <c r="B41" s="109"/>
      <c r="C41" s="215" t="s">
        <v>138</v>
      </c>
      <c r="D41" s="106">
        <v>1</v>
      </c>
      <c r="E41" s="106">
        <f>+E38</f>
        <v>5.3999999999999995</v>
      </c>
      <c r="F41" s="106" t="s">
        <v>10</v>
      </c>
      <c r="G41" s="106" t="s">
        <v>14</v>
      </c>
      <c r="H41" s="106" t="s">
        <v>15</v>
      </c>
      <c r="I41" s="106" t="s">
        <v>15</v>
      </c>
      <c r="J41" s="186">
        <f>+D41/E41/D41</f>
        <v>0.1851851851851852</v>
      </c>
      <c r="K41" s="102">
        <f>+'Mat y mano obra'!D8</f>
        <v>10187</v>
      </c>
      <c r="L41" s="228">
        <f>+K41*J41</f>
        <v>1886.4814814814818</v>
      </c>
    </row>
    <row r="42" spans="2:12" ht="15.75" thickBot="1" x14ac:dyDescent="0.3">
      <c r="B42" s="109"/>
      <c r="C42" s="215" t="s">
        <v>110</v>
      </c>
      <c r="D42" s="106"/>
      <c r="E42" s="106"/>
      <c r="F42" s="106"/>
      <c r="G42" s="106"/>
      <c r="H42" s="106" t="s">
        <v>26</v>
      </c>
      <c r="I42" s="106"/>
      <c r="J42" s="219">
        <v>10</v>
      </c>
      <c r="K42" s="65" t="s">
        <v>27</v>
      </c>
      <c r="L42" s="228">
        <f>+L41*J42%</f>
        <v>188.64814814814818</v>
      </c>
    </row>
    <row r="43" spans="2:12" x14ac:dyDescent="0.25">
      <c r="B43" s="212"/>
      <c r="C43" s="216" t="s">
        <v>116</v>
      </c>
      <c r="D43" s="221">
        <f>1/3</f>
        <v>0.33333333333333331</v>
      </c>
      <c r="E43" s="106">
        <f>+E41/D43</f>
        <v>16.2</v>
      </c>
      <c r="F43" s="106" t="s">
        <v>10</v>
      </c>
      <c r="G43" s="106" t="s">
        <v>14</v>
      </c>
      <c r="H43" s="106" t="s">
        <v>15</v>
      </c>
      <c r="I43" s="106" t="s">
        <v>15</v>
      </c>
      <c r="J43" s="186">
        <f>+D43/E43/D43</f>
        <v>6.1728395061728399E-2</v>
      </c>
      <c r="K43" s="102">
        <f>+'Mat y mano obra'!D4</f>
        <v>21535</v>
      </c>
      <c r="L43" s="228">
        <f>+K43*J43</f>
        <v>1329.320987654321</v>
      </c>
    </row>
    <row r="44" spans="2:12" ht="15.75" thickBot="1" x14ac:dyDescent="0.3">
      <c r="B44" s="70"/>
      <c r="C44" s="218" t="s">
        <v>49</v>
      </c>
      <c r="D44" s="64"/>
      <c r="E44" s="64"/>
      <c r="F44" s="64"/>
      <c r="G44" s="64"/>
      <c r="H44" s="64" t="s">
        <v>26</v>
      </c>
      <c r="I44" s="64"/>
      <c r="J44" s="220">
        <v>57</v>
      </c>
      <c r="K44" s="213"/>
      <c r="L44" s="229">
        <f>+(L43+L41+L35)*J44%</f>
        <v>3768.537407407407</v>
      </c>
    </row>
    <row r="45" spans="2:12" x14ac:dyDescent="0.25">
      <c r="B45" s="199"/>
      <c r="C45" s="200"/>
      <c r="D45" s="187"/>
      <c r="E45" s="187"/>
      <c r="F45" s="187"/>
      <c r="G45" s="187"/>
      <c r="H45" s="187"/>
      <c r="I45" s="201"/>
      <c r="J45" s="202"/>
      <c r="K45" s="63"/>
    </row>
    <row r="46" spans="2:12" ht="15.75" thickBot="1" x14ac:dyDescent="0.3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132"/>
    </row>
    <row r="47" spans="2:12" ht="15.75" thickBot="1" x14ac:dyDescent="0.3">
      <c r="B47" s="66" t="s">
        <v>0</v>
      </c>
      <c r="C47" s="144" t="s">
        <v>1</v>
      </c>
      <c r="D47" s="669"/>
      <c r="E47" s="670"/>
      <c r="F47" s="670"/>
      <c r="G47" s="670"/>
      <c r="H47" s="671"/>
      <c r="I47" s="145" t="s">
        <v>5</v>
      </c>
      <c r="J47" s="67" t="s">
        <v>6</v>
      </c>
      <c r="K47" s="67" t="s">
        <v>7</v>
      </c>
      <c r="L47" s="140" t="s">
        <v>8</v>
      </c>
    </row>
    <row r="48" spans="2:12" ht="15.75" thickBot="1" x14ac:dyDescent="0.3">
      <c r="B48" s="70"/>
      <c r="C48" s="146" t="s">
        <v>117</v>
      </c>
      <c r="D48" s="99" t="s">
        <v>2</v>
      </c>
      <c r="E48" s="100" t="s">
        <v>3</v>
      </c>
      <c r="F48" s="621" t="s">
        <v>4</v>
      </c>
      <c r="G48" s="622"/>
      <c r="H48" s="623"/>
      <c r="I48" s="147" t="s">
        <v>10</v>
      </c>
      <c r="J48" s="72">
        <v>1</v>
      </c>
      <c r="K48" s="65"/>
      <c r="L48" s="73">
        <f>+SUM(L49:L59)</f>
        <v>17076.259930555552</v>
      </c>
    </row>
    <row r="49" spans="2:12" x14ac:dyDescent="0.25">
      <c r="B49" s="148"/>
      <c r="C49" s="149" t="s">
        <v>108</v>
      </c>
      <c r="D49" s="230"/>
      <c r="E49" s="231">
        <f>+rendimiento!C29</f>
        <v>8</v>
      </c>
      <c r="F49" s="231" t="s">
        <v>10</v>
      </c>
      <c r="G49" s="231" t="s">
        <v>14</v>
      </c>
      <c r="H49" s="232" t="s">
        <v>15</v>
      </c>
      <c r="I49" s="141" t="s">
        <v>15</v>
      </c>
      <c r="J49" s="135"/>
      <c r="K49" s="137"/>
      <c r="L49" s="142"/>
    </row>
    <row r="50" spans="2:12" x14ac:dyDescent="0.25">
      <c r="B50" s="109"/>
      <c r="C50" s="150" t="s">
        <v>109</v>
      </c>
      <c r="D50" s="233">
        <v>1.5</v>
      </c>
      <c r="E50" s="234">
        <f>+E49/D50</f>
        <v>5.333333333333333</v>
      </c>
      <c r="F50" s="235" t="s">
        <v>10</v>
      </c>
      <c r="G50" s="235" t="s">
        <v>14</v>
      </c>
      <c r="H50" s="236" t="s">
        <v>35</v>
      </c>
      <c r="I50" s="143" t="s">
        <v>15</v>
      </c>
      <c r="J50" s="106">
        <f>+D50/E50/D50</f>
        <v>0.1875</v>
      </c>
      <c r="K50" s="102">
        <f>+'Mat y mano obra'!D8</f>
        <v>10187</v>
      </c>
      <c r="L50" s="110">
        <f>+K50*J50</f>
        <v>1910.0625</v>
      </c>
    </row>
    <row r="51" spans="2:12" x14ac:dyDescent="0.25">
      <c r="B51" s="109"/>
      <c r="C51" s="150" t="s">
        <v>110</v>
      </c>
      <c r="D51" s="233"/>
      <c r="E51" s="235"/>
      <c r="F51" s="235"/>
      <c r="G51" s="235"/>
      <c r="H51" s="236"/>
      <c r="I51" s="143" t="s">
        <v>26</v>
      </c>
      <c r="J51" s="106">
        <v>10</v>
      </c>
      <c r="K51" s="102"/>
      <c r="L51" s="110">
        <f>+L50*J51%</f>
        <v>191.00625000000002</v>
      </c>
    </row>
    <row r="52" spans="2:12" x14ac:dyDescent="0.25">
      <c r="B52" s="109"/>
      <c r="C52" s="150" t="s">
        <v>111</v>
      </c>
      <c r="D52" s="233"/>
      <c r="E52" s="235"/>
      <c r="F52" s="235"/>
      <c r="G52" s="235"/>
      <c r="H52" s="236"/>
      <c r="I52" s="143"/>
      <c r="J52" s="106"/>
      <c r="K52" s="102"/>
      <c r="L52" s="110"/>
    </row>
    <row r="53" spans="2:12" x14ac:dyDescent="0.25">
      <c r="B53" s="109"/>
      <c r="C53" s="150" t="s">
        <v>112</v>
      </c>
      <c r="D53" s="233">
        <v>1</v>
      </c>
      <c r="E53" s="235">
        <f>1.2*E49</f>
        <v>9.6</v>
      </c>
      <c r="F53" s="235" t="s">
        <v>10</v>
      </c>
      <c r="G53" s="235" t="s">
        <v>14</v>
      </c>
      <c r="H53" s="236" t="s">
        <v>15</v>
      </c>
      <c r="I53" s="143" t="s">
        <v>15</v>
      </c>
      <c r="J53" s="186">
        <f>+D53/E53/D53</f>
        <v>0.10416666666666667</v>
      </c>
      <c r="K53" s="226">
        <f>+'Mat y mano obra'!D14</f>
        <v>19556</v>
      </c>
      <c r="L53" s="110">
        <f t="shared" ref="L53:L58" si="0">+K53*J53</f>
        <v>2037.0833333333335</v>
      </c>
    </row>
    <row r="54" spans="2:12" x14ac:dyDescent="0.25">
      <c r="B54" s="109"/>
      <c r="C54" s="150" t="s">
        <v>113</v>
      </c>
      <c r="D54" s="233">
        <v>1</v>
      </c>
      <c r="E54" s="235">
        <f>5*E53</f>
        <v>48</v>
      </c>
      <c r="F54" s="235" t="s">
        <v>10</v>
      </c>
      <c r="G54" s="235" t="s">
        <v>14</v>
      </c>
      <c r="H54" s="236" t="s">
        <v>15</v>
      </c>
      <c r="I54" s="143" t="s">
        <v>15</v>
      </c>
      <c r="J54" s="186">
        <f>+D54/E54/D54</f>
        <v>2.0833333333333332E-2</v>
      </c>
      <c r="K54" s="102">
        <f>+'Mat y mano obra'!D10</f>
        <v>9500</v>
      </c>
      <c r="L54" s="110">
        <f t="shared" si="0"/>
        <v>197.91666666666666</v>
      </c>
    </row>
    <row r="55" spans="2:12" x14ac:dyDescent="0.25">
      <c r="B55" s="109"/>
      <c r="C55" s="150" t="s">
        <v>114</v>
      </c>
      <c r="D55" s="233"/>
      <c r="E55" s="235"/>
      <c r="F55" s="235"/>
      <c r="G55" s="235"/>
      <c r="H55" s="236"/>
      <c r="I55" s="143" t="s">
        <v>18</v>
      </c>
      <c r="J55" s="106">
        <v>1.77</v>
      </c>
      <c r="K55" s="102">
        <f>+'Mat y mano obra'!D20</f>
        <v>950</v>
      </c>
      <c r="L55" s="110">
        <f t="shared" si="0"/>
        <v>1681.5</v>
      </c>
    </row>
    <row r="56" spans="2:12" x14ac:dyDescent="0.25">
      <c r="B56" s="131"/>
      <c r="C56" s="151" t="s">
        <v>118</v>
      </c>
      <c r="D56" s="233">
        <v>1.1499999999999999</v>
      </c>
      <c r="E56" s="235"/>
      <c r="F56" s="235"/>
      <c r="G56" s="235"/>
      <c r="H56" s="236"/>
      <c r="I56" s="152" t="s">
        <v>10</v>
      </c>
      <c r="J56" s="128">
        <f>+D56</f>
        <v>1.1499999999999999</v>
      </c>
      <c r="K56" s="129">
        <f>+'Mat y mano obra'!D21+'APU DT-18'!C13*'APU DT-18'!C14</f>
        <v>6200</v>
      </c>
      <c r="L56" s="130">
        <f t="shared" si="0"/>
        <v>7129.9999999999991</v>
      </c>
    </row>
    <row r="57" spans="2:12" x14ac:dyDescent="0.25">
      <c r="B57" s="109"/>
      <c r="C57" s="150" t="s">
        <v>115</v>
      </c>
      <c r="D57" s="233">
        <v>1</v>
      </c>
      <c r="E57" s="235">
        <f>+E53</f>
        <v>9.6</v>
      </c>
      <c r="F57" s="235" t="s">
        <v>10</v>
      </c>
      <c r="G57" s="235" t="s">
        <v>14</v>
      </c>
      <c r="H57" s="236" t="s">
        <v>15</v>
      </c>
      <c r="I57" s="143" t="s">
        <v>15</v>
      </c>
      <c r="J57" s="186">
        <f>+D57/E57/D57</f>
        <v>0.10416666666666667</v>
      </c>
      <c r="K57" s="102">
        <f>+'Mat y mano obra'!D8</f>
        <v>10187</v>
      </c>
      <c r="L57" s="110">
        <f t="shared" si="0"/>
        <v>1061.1458333333335</v>
      </c>
    </row>
    <row r="58" spans="2:12" x14ac:dyDescent="0.25">
      <c r="B58" s="109"/>
      <c r="C58" s="150" t="s">
        <v>116</v>
      </c>
      <c r="D58" s="233">
        <f>1/3</f>
        <v>0.33333333333333331</v>
      </c>
      <c r="E58" s="235">
        <f>+E53/D58</f>
        <v>28.8</v>
      </c>
      <c r="F58" s="235" t="s">
        <v>10</v>
      </c>
      <c r="G58" s="235" t="s">
        <v>14</v>
      </c>
      <c r="H58" s="236" t="s">
        <v>15</v>
      </c>
      <c r="I58" s="143" t="s">
        <v>15</v>
      </c>
      <c r="J58" s="186">
        <f>+D58/E58/D58</f>
        <v>3.4722222222222224E-2</v>
      </c>
      <c r="K58" s="102">
        <f>+'Mat y mano obra'!D4</f>
        <v>21535</v>
      </c>
      <c r="L58" s="110">
        <f t="shared" si="0"/>
        <v>747.74305555555554</v>
      </c>
    </row>
    <row r="59" spans="2:12" ht="15.75" thickBot="1" x14ac:dyDescent="0.3">
      <c r="B59" s="112"/>
      <c r="C59" s="153" t="s">
        <v>49</v>
      </c>
      <c r="D59" s="237"/>
      <c r="E59" s="238"/>
      <c r="F59" s="238"/>
      <c r="G59" s="238"/>
      <c r="H59" s="239"/>
      <c r="I59" s="154" t="s">
        <v>26</v>
      </c>
      <c r="J59" s="64">
        <v>57</v>
      </c>
      <c r="K59" s="65"/>
      <c r="L59" s="114">
        <f>+(L58+L57+L50)*J59%</f>
        <v>2119.8022916666664</v>
      </c>
    </row>
    <row r="61" spans="2:12" ht="15.75" thickBot="1" x14ac:dyDescent="0.3"/>
    <row r="62" spans="2:12" s="247" customFormat="1" ht="15.75" thickBot="1" x14ac:dyDescent="0.3">
      <c r="B62" s="66" t="s">
        <v>0</v>
      </c>
      <c r="C62" s="144" t="s">
        <v>1</v>
      </c>
      <c r="D62" s="669"/>
      <c r="E62" s="670"/>
      <c r="F62" s="670"/>
      <c r="G62" s="670"/>
      <c r="H62" s="671"/>
      <c r="I62" s="145" t="s">
        <v>5</v>
      </c>
      <c r="J62" s="67" t="s">
        <v>6</v>
      </c>
      <c r="K62" s="67" t="s">
        <v>7</v>
      </c>
      <c r="L62" s="140" t="s">
        <v>8</v>
      </c>
    </row>
    <row r="63" spans="2:12" s="247" customFormat="1" ht="15.75" x14ac:dyDescent="0.25">
      <c r="B63" s="244"/>
      <c r="C63" s="245" t="s">
        <v>163</v>
      </c>
      <c r="D63" s="194" t="s">
        <v>2</v>
      </c>
      <c r="E63" s="195" t="s">
        <v>3</v>
      </c>
      <c r="F63" s="645" t="s">
        <v>4</v>
      </c>
      <c r="G63" s="646"/>
      <c r="H63" s="647"/>
      <c r="I63" s="246" t="s">
        <v>10</v>
      </c>
      <c r="J63" s="198">
        <v>1</v>
      </c>
      <c r="K63" s="102"/>
      <c r="L63" s="251">
        <f>+SUM(L64:L69)</f>
        <v>1221.7604852941176</v>
      </c>
    </row>
    <row r="64" spans="2:12" s="247" customFormat="1" ht="15.75" x14ac:dyDescent="0.25">
      <c r="B64" s="203"/>
      <c r="C64" s="150" t="s">
        <v>140</v>
      </c>
      <c r="D64" s="233">
        <v>1</v>
      </c>
      <c r="E64" s="235">
        <f>+rendimiento!C30</f>
        <v>40</v>
      </c>
      <c r="F64" s="235" t="s">
        <v>10</v>
      </c>
      <c r="G64" s="204" t="s">
        <v>14</v>
      </c>
      <c r="H64" s="236" t="s">
        <v>105</v>
      </c>
      <c r="I64" s="252" t="s">
        <v>105</v>
      </c>
      <c r="J64" s="186">
        <f>+D64/E64/D64</f>
        <v>2.5000000000000001E-2</v>
      </c>
      <c r="K64" s="226">
        <f>+'Mat y mano obra'!D15</f>
        <v>45000</v>
      </c>
      <c r="L64" s="102">
        <f>+K64*J64</f>
        <v>1125</v>
      </c>
    </row>
    <row r="65" spans="2:12" s="247" customFormat="1" ht="15.75" x14ac:dyDescent="0.25">
      <c r="B65" s="203"/>
      <c r="C65" s="150" t="s">
        <v>141</v>
      </c>
      <c r="D65" s="233"/>
      <c r="E65" s="235"/>
      <c r="F65" s="235"/>
      <c r="G65" s="204"/>
      <c r="H65" s="236"/>
      <c r="I65" s="252"/>
      <c r="J65" s="186"/>
      <c r="K65" s="102"/>
      <c r="L65" s="102"/>
    </row>
    <row r="66" spans="2:12" s="247" customFormat="1" ht="15.75" x14ac:dyDescent="0.25">
      <c r="B66" s="203"/>
      <c r="C66" s="150" t="s">
        <v>142</v>
      </c>
      <c r="D66" s="233">
        <v>1</v>
      </c>
      <c r="E66" s="235">
        <f>8.5*E64</f>
        <v>340</v>
      </c>
      <c r="F66" s="235" t="s">
        <v>10</v>
      </c>
      <c r="G66" s="204" t="s">
        <v>14</v>
      </c>
      <c r="H66" s="236" t="s">
        <v>15</v>
      </c>
      <c r="I66" s="252" t="s">
        <v>15</v>
      </c>
      <c r="J66" s="186">
        <f>+D66/E66/D66</f>
        <v>2.9411764705882353E-3</v>
      </c>
      <c r="K66" s="102">
        <f>+'Mat y mano obra'!D8</f>
        <v>10187</v>
      </c>
      <c r="L66" s="102">
        <f>+K66*J66</f>
        <v>29.961764705882352</v>
      </c>
    </row>
    <row r="67" spans="2:12" s="247" customFormat="1" ht="15.75" x14ac:dyDescent="0.25">
      <c r="B67" s="203"/>
      <c r="C67" s="150" t="s">
        <v>141</v>
      </c>
      <c r="D67" s="233"/>
      <c r="E67" s="235"/>
      <c r="F67" s="235"/>
      <c r="G67" s="204"/>
      <c r="H67" s="236"/>
      <c r="I67" s="252"/>
      <c r="J67" s="186"/>
      <c r="K67" s="102"/>
      <c r="L67" s="102"/>
    </row>
    <row r="68" spans="2:12" s="247" customFormat="1" ht="15.75" x14ac:dyDescent="0.25">
      <c r="B68" s="203"/>
      <c r="C68" s="150" t="s">
        <v>143</v>
      </c>
      <c r="D68" s="233">
        <v>0.5</v>
      </c>
      <c r="E68" s="235">
        <f>+E66/D68</f>
        <v>680</v>
      </c>
      <c r="F68" s="235" t="s">
        <v>10</v>
      </c>
      <c r="G68" s="204" t="s">
        <v>14</v>
      </c>
      <c r="H68" s="236" t="s">
        <v>15</v>
      </c>
      <c r="I68" s="252" t="s">
        <v>15</v>
      </c>
      <c r="J68" s="186">
        <f>+D68/E68/D68</f>
        <v>1.4705882352941176E-3</v>
      </c>
      <c r="K68" s="102">
        <f>+'Mat y mano obra'!D4</f>
        <v>21535</v>
      </c>
      <c r="L68" s="102">
        <f>+K68*J68</f>
        <v>31.669117647058822</v>
      </c>
    </row>
    <row r="69" spans="2:12" s="247" customFormat="1" ht="16.5" thickBot="1" x14ac:dyDescent="0.3">
      <c r="B69" s="203"/>
      <c r="C69" s="150" t="s">
        <v>49</v>
      </c>
      <c r="D69" s="237"/>
      <c r="E69" s="238"/>
      <c r="F69" s="238"/>
      <c r="G69" s="207"/>
      <c r="H69" s="239"/>
      <c r="I69" s="252" t="s">
        <v>26</v>
      </c>
      <c r="J69" s="106">
        <v>57</v>
      </c>
      <c r="K69" s="102"/>
      <c r="L69" s="102">
        <f>+(L68+L66)*J69%</f>
        <v>35.129602941176465</v>
      </c>
    </row>
    <row r="70" spans="2:12" s="247" customFormat="1" x14ac:dyDescent="0.25"/>
    <row r="71" spans="2:12" s="247" customFormat="1" ht="15.75" thickBot="1" x14ac:dyDescent="0.3"/>
    <row r="72" spans="2:12" s="247" customFormat="1" ht="15.75" thickBot="1" x14ac:dyDescent="0.3">
      <c r="B72" s="66" t="s">
        <v>0</v>
      </c>
      <c r="C72" s="144" t="s">
        <v>1</v>
      </c>
      <c r="D72" s="672"/>
      <c r="E72" s="673"/>
      <c r="F72" s="673"/>
      <c r="G72" s="673"/>
      <c r="H72" s="674"/>
      <c r="I72" s="145" t="s">
        <v>5</v>
      </c>
      <c r="J72" s="67" t="s">
        <v>6</v>
      </c>
      <c r="K72" s="67" t="s">
        <v>7</v>
      </c>
      <c r="L72" s="140" t="s">
        <v>8</v>
      </c>
    </row>
    <row r="73" spans="2:12" s="247" customFormat="1" ht="15.75" x14ac:dyDescent="0.25">
      <c r="B73" s="241"/>
      <c r="C73" s="253" t="s">
        <v>167</v>
      </c>
      <c r="D73" s="254" t="s">
        <v>2</v>
      </c>
      <c r="E73" s="255" t="s">
        <v>3</v>
      </c>
      <c r="F73" s="645" t="s">
        <v>4</v>
      </c>
      <c r="G73" s="646"/>
      <c r="H73" s="647"/>
      <c r="I73" s="252" t="s">
        <v>10</v>
      </c>
      <c r="J73" s="106">
        <v>1</v>
      </c>
      <c r="K73" s="256"/>
      <c r="L73" s="251">
        <f>+SUM(L74:L80)</f>
        <v>2304.613653250774</v>
      </c>
    </row>
    <row r="74" spans="2:12" s="247" customFormat="1" ht="15.75" x14ac:dyDescent="0.25">
      <c r="B74" s="242"/>
      <c r="C74" s="111" t="s">
        <v>104</v>
      </c>
      <c r="D74" s="233">
        <v>1</v>
      </c>
      <c r="E74" s="235">
        <f>+rendimiento!C31</f>
        <v>9.5</v>
      </c>
      <c r="F74" s="235" t="s">
        <v>10</v>
      </c>
      <c r="G74" s="204" t="s">
        <v>14</v>
      </c>
      <c r="H74" s="236" t="s">
        <v>105</v>
      </c>
      <c r="I74" s="252" t="s">
        <v>105</v>
      </c>
      <c r="J74" s="186">
        <f>+D74/E74/D74</f>
        <v>0.10526315789473684</v>
      </c>
      <c r="K74" s="226">
        <f>+'Mat y mano obra'!D13</f>
        <v>17029</v>
      </c>
      <c r="L74" s="251">
        <f>+K74*J74</f>
        <v>1792.5263157894735</v>
      </c>
    </row>
    <row r="75" spans="2:12" s="247" customFormat="1" ht="15.75" x14ac:dyDescent="0.25">
      <c r="B75" s="242"/>
      <c r="C75" s="150" t="s">
        <v>144</v>
      </c>
      <c r="D75" s="233"/>
      <c r="E75" s="235"/>
      <c r="F75" s="235"/>
      <c r="G75" s="204"/>
      <c r="H75" s="236"/>
      <c r="I75" s="252"/>
      <c r="J75" s="186"/>
      <c r="K75" s="102"/>
      <c r="L75" s="251"/>
    </row>
    <row r="76" spans="2:12" s="247" customFormat="1" ht="15.75" x14ac:dyDescent="0.25">
      <c r="B76" s="242"/>
      <c r="C76" s="150" t="s">
        <v>145</v>
      </c>
      <c r="D76" s="233">
        <v>1</v>
      </c>
      <c r="E76" s="235">
        <f>+E74*8.5</f>
        <v>80.75</v>
      </c>
      <c r="F76" s="235" t="s">
        <v>10</v>
      </c>
      <c r="G76" s="204" t="s">
        <v>14</v>
      </c>
      <c r="H76" s="236" t="s">
        <v>15</v>
      </c>
      <c r="I76" s="252" t="s">
        <v>15</v>
      </c>
      <c r="J76" s="186">
        <f>+D76/E76/D76</f>
        <v>1.238390092879257E-2</v>
      </c>
      <c r="K76" s="102">
        <f>+'Mat y mano obra'!D8</f>
        <v>10187</v>
      </c>
      <c r="L76" s="251">
        <f>+K76*J76</f>
        <v>126.15479876160991</v>
      </c>
    </row>
    <row r="77" spans="2:12" s="247" customFormat="1" ht="15.75" x14ac:dyDescent="0.25">
      <c r="B77" s="242"/>
      <c r="C77" s="150" t="s">
        <v>146</v>
      </c>
      <c r="D77" s="233"/>
      <c r="E77" s="235"/>
      <c r="F77" s="235"/>
      <c r="G77" s="204"/>
      <c r="H77" s="236"/>
      <c r="I77" s="252"/>
      <c r="J77" s="186"/>
      <c r="K77" s="102"/>
      <c r="L77" s="251"/>
    </row>
    <row r="78" spans="2:12" s="247" customFormat="1" ht="15.75" x14ac:dyDescent="0.25">
      <c r="B78" s="242"/>
      <c r="C78" s="253" t="s">
        <v>147</v>
      </c>
      <c r="D78" s="233">
        <v>0.75</v>
      </c>
      <c r="E78" s="235">
        <f>+E76/D78</f>
        <v>107.66666666666667</v>
      </c>
      <c r="F78" s="235" t="s">
        <v>10</v>
      </c>
      <c r="G78" s="204" t="s">
        <v>14</v>
      </c>
      <c r="H78" s="236" t="s">
        <v>15</v>
      </c>
      <c r="I78" s="252" t="s">
        <v>15</v>
      </c>
      <c r="J78" s="186">
        <f>+D78/E78/D78</f>
        <v>9.2879256965944269E-3</v>
      </c>
      <c r="K78" s="102">
        <f>+'Mat y mano obra'!D4</f>
        <v>21535</v>
      </c>
      <c r="L78" s="251">
        <f>+K78*J78</f>
        <v>200.01547987616098</v>
      </c>
    </row>
    <row r="79" spans="2:12" s="247" customFormat="1" ht="15.75" x14ac:dyDescent="0.25">
      <c r="B79" s="242"/>
      <c r="C79" s="150" t="s">
        <v>49</v>
      </c>
      <c r="D79" s="233"/>
      <c r="E79" s="235"/>
      <c r="F79" s="235"/>
      <c r="G79" s="204"/>
      <c r="H79" s="236"/>
      <c r="I79" s="252" t="s">
        <v>26</v>
      </c>
      <c r="J79" s="106">
        <v>57</v>
      </c>
      <c r="K79" s="102"/>
      <c r="L79" s="251">
        <f>+(L78+L76)*J79%</f>
        <v>185.91705882352937</v>
      </c>
    </row>
    <row r="80" spans="2:12" s="247" customFormat="1" ht="16.5" thickBot="1" x14ac:dyDescent="0.3">
      <c r="B80" s="243"/>
      <c r="C80" s="257"/>
      <c r="D80" s="243"/>
      <c r="E80" s="206"/>
      <c r="F80" s="207"/>
      <c r="G80" s="207"/>
      <c r="H80" s="258"/>
      <c r="I80" s="259"/>
      <c r="J80" s="206"/>
      <c r="K80" s="260"/>
      <c r="L80" s="251"/>
    </row>
    <row r="81" spans="2:14" s="247" customFormat="1" ht="15.75" x14ac:dyDescent="0.25">
      <c r="B81" s="240"/>
      <c r="C81" s="263"/>
      <c r="D81" s="240"/>
      <c r="E81" s="240"/>
      <c r="F81" s="201"/>
      <c r="G81" s="201"/>
      <c r="H81" s="201"/>
      <c r="I81" s="201"/>
      <c r="J81" s="240"/>
      <c r="K81" s="264"/>
      <c r="L81" s="265"/>
    </row>
    <row r="82" spans="2:14" s="247" customFormat="1" ht="16.5" thickBot="1" x14ac:dyDescent="0.3">
      <c r="B82" s="249"/>
      <c r="C82" s="250"/>
      <c r="D82" s="249"/>
      <c r="E82" s="249"/>
      <c r="F82" s="248"/>
      <c r="G82" s="248"/>
      <c r="H82" s="248"/>
      <c r="I82" s="248"/>
      <c r="J82" s="249"/>
    </row>
    <row r="83" spans="2:14" s="247" customFormat="1" ht="15.75" thickBot="1" x14ac:dyDescent="0.3">
      <c r="B83" s="66" t="s">
        <v>0</v>
      </c>
      <c r="C83" s="144" t="s">
        <v>1</v>
      </c>
      <c r="D83" s="632"/>
      <c r="E83" s="633"/>
      <c r="F83" s="633"/>
      <c r="G83" s="633"/>
      <c r="H83" s="634"/>
      <c r="I83" s="145" t="s">
        <v>5</v>
      </c>
      <c r="J83" s="67" t="s">
        <v>6</v>
      </c>
      <c r="K83" s="67" t="s">
        <v>7</v>
      </c>
      <c r="L83" s="140" t="s">
        <v>8</v>
      </c>
    </row>
    <row r="84" spans="2:14" s="247" customFormat="1" ht="15.75" x14ac:dyDescent="0.25">
      <c r="B84" s="241"/>
      <c r="C84" s="668" t="s">
        <v>164</v>
      </c>
      <c r="D84" s="635" t="s">
        <v>2</v>
      </c>
      <c r="E84" s="637" t="s">
        <v>3</v>
      </c>
      <c r="F84" s="639" t="s">
        <v>4</v>
      </c>
      <c r="G84" s="640"/>
      <c r="H84" s="641"/>
      <c r="I84" s="624" t="s">
        <v>10</v>
      </c>
      <c r="J84" s="626">
        <v>1</v>
      </c>
      <c r="K84" s="628"/>
      <c r="L84" s="630">
        <f>+SUM(L86:L92)</f>
        <v>2272.0307620320855</v>
      </c>
      <c r="N84" s="302">
        <f>+L84</f>
        <v>2272.0307620320855</v>
      </c>
    </row>
    <row r="85" spans="2:14" s="247" customFormat="1" ht="15.75" x14ac:dyDescent="0.25">
      <c r="B85" s="242"/>
      <c r="C85" s="659"/>
      <c r="D85" s="636"/>
      <c r="E85" s="638"/>
      <c r="F85" s="642"/>
      <c r="G85" s="643"/>
      <c r="H85" s="644"/>
      <c r="I85" s="625"/>
      <c r="J85" s="627"/>
      <c r="K85" s="629"/>
      <c r="L85" s="631"/>
    </row>
    <row r="86" spans="2:14" s="247" customFormat="1" ht="15.75" x14ac:dyDescent="0.25">
      <c r="B86" s="242"/>
      <c r="C86" s="150" t="s">
        <v>140</v>
      </c>
      <c r="D86" s="233">
        <v>1</v>
      </c>
      <c r="E86" s="235">
        <f>+rendimiento!C32</f>
        <v>22</v>
      </c>
      <c r="F86" s="235" t="s">
        <v>10</v>
      </c>
      <c r="G86" s="204" t="s">
        <v>14</v>
      </c>
      <c r="H86" s="236" t="s">
        <v>105</v>
      </c>
      <c r="I86" s="252" t="s">
        <v>105</v>
      </c>
      <c r="J86" s="186">
        <f>+D86/E86/D86</f>
        <v>4.5454545454545456E-2</v>
      </c>
      <c r="K86" s="226">
        <f>+'Mat y mano obra'!D15</f>
        <v>45000</v>
      </c>
      <c r="L86" s="102">
        <f>+K86*J86</f>
        <v>2045.4545454545455</v>
      </c>
    </row>
    <row r="87" spans="2:14" s="247" customFormat="1" ht="15.75" x14ac:dyDescent="0.25">
      <c r="B87" s="242"/>
      <c r="C87" s="150" t="s">
        <v>141</v>
      </c>
      <c r="D87" s="233"/>
      <c r="E87" s="235"/>
      <c r="F87" s="235"/>
      <c r="G87" s="204"/>
      <c r="H87" s="236"/>
      <c r="I87" s="252"/>
      <c r="J87" s="186"/>
      <c r="K87" s="102"/>
      <c r="L87" s="102"/>
    </row>
    <row r="88" spans="2:14" s="247" customFormat="1" ht="15.75" x14ac:dyDescent="0.25">
      <c r="B88" s="242"/>
      <c r="C88" s="150" t="s">
        <v>148</v>
      </c>
      <c r="D88" s="233">
        <v>1</v>
      </c>
      <c r="E88" s="235">
        <f>+E86*8.5</f>
        <v>187</v>
      </c>
      <c r="F88" s="235" t="s">
        <v>10</v>
      </c>
      <c r="G88" s="204" t="s">
        <v>14</v>
      </c>
      <c r="H88" s="236" t="s">
        <v>15</v>
      </c>
      <c r="I88" s="252" t="s">
        <v>15</v>
      </c>
      <c r="J88" s="186">
        <f>+D88/E88/D88</f>
        <v>5.3475935828877002E-3</v>
      </c>
      <c r="K88" s="102">
        <f>+'Mat y mano obra'!D8</f>
        <v>10187</v>
      </c>
      <c r="L88" s="102">
        <f>+K88*J88</f>
        <v>54.475935828876999</v>
      </c>
    </row>
    <row r="89" spans="2:14" s="247" customFormat="1" ht="15.75" x14ac:dyDescent="0.25">
      <c r="B89" s="242"/>
      <c r="C89" s="150" t="s">
        <v>149</v>
      </c>
      <c r="D89" s="233"/>
      <c r="E89" s="235"/>
      <c r="F89" s="235"/>
      <c r="G89" s="204"/>
      <c r="H89" s="236"/>
      <c r="I89" s="252"/>
      <c r="J89" s="186"/>
      <c r="K89" s="102"/>
      <c r="L89" s="102"/>
    </row>
    <row r="90" spans="2:14" s="247" customFormat="1" ht="15.75" x14ac:dyDescent="0.25">
      <c r="B90" s="242"/>
      <c r="C90" s="150" t="s">
        <v>147</v>
      </c>
      <c r="D90" s="233">
        <v>0.75</v>
      </c>
      <c r="E90" s="261">
        <f>+E88/D90</f>
        <v>249.33333333333334</v>
      </c>
      <c r="F90" s="235" t="s">
        <v>10</v>
      </c>
      <c r="G90" s="204" t="s">
        <v>14</v>
      </c>
      <c r="H90" s="236" t="s">
        <v>15</v>
      </c>
      <c r="I90" s="252" t="s">
        <v>15</v>
      </c>
      <c r="J90" s="186">
        <f>+D90/E90/D90</f>
        <v>4.010695187165775E-3</v>
      </c>
      <c r="K90" s="102">
        <f>+'Mat y mano obra'!D4</f>
        <v>21535</v>
      </c>
      <c r="L90" s="102">
        <f>+K90*J90</f>
        <v>86.370320855614963</v>
      </c>
    </row>
    <row r="91" spans="2:14" s="247" customFormat="1" ht="15.75" x14ac:dyDescent="0.25">
      <c r="B91" s="242"/>
      <c r="C91" s="253" t="s">
        <v>110</v>
      </c>
      <c r="D91" s="233"/>
      <c r="E91" s="235"/>
      <c r="F91" s="235"/>
      <c r="G91" s="204"/>
      <c r="H91" s="236"/>
      <c r="I91" s="252" t="s">
        <v>26</v>
      </c>
      <c r="J91" s="106">
        <v>10</v>
      </c>
      <c r="K91" s="102"/>
      <c r="L91" s="102">
        <f>+(L88)*J91%</f>
        <v>5.4475935828877002</v>
      </c>
    </row>
    <row r="92" spans="2:14" s="247" customFormat="1" ht="16.5" thickBot="1" x14ac:dyDescent="0.3">
      <c r="B92" s="243"/>
      <c r="C92" s="153" t="s">
        <v>49</v>
      </c>
      <c r="D92" s="237"/>
      <c r="E92" s="238"/>
      <c r="F92" s="238"/>
      <c r="G92" s="207"/>
      <c r="H92" s="239"/>
      <c r="I92" s="262" t="s">
        <v>26</v>
      </c>
      <c r="J92" s="64">
        <v>57</v>
      </c>
      <c r="K92" s="102"/>
      <c r="L92" s="102">
        <f>+(L90+L88)*J92%</f>
        <v>80.282366310160398</v>
      </c>
    </row>
    <row r="93" spans="2:14" s="247" customFormat="1" ht="15.75" x14ac:dyDescent="0.25">
      <c r="B93" s="249"/>
      <c r="C93" s="250"/>
      <c r="D93" s="249"/>
      <c r="E93" s="249"/>
      <c r="F93" s="248"/>
      <c r="G93" s="248"/>
      <c r="H93" s="248"/>
      <c r="I93" s="248"/>
      <c r="J93" s="249"/>
    </row>
    <row r="94" spans="2:14" s="247" customFormat="1" ht="16.5" thickBot="1" x14ac:dyDescent="0.3">
      <c r="B94" s="249"/>
      <c r="C94" s="250"/>
      <c r="D94" s="249"/>
      <c r="E94" s="249"/>
      <c r="F94" s="248"/>
      <c r="G94" s="248"/>
      <c r="H94" s="248"/>
      <c r="I94" s="248"/>
      <c r="J94" s="249"/>
    </row>
    <row r="95" spans="2:14" s="247" customFormat="1" ht="15.75" thickBot="1" x14ac:dyDescent="0.3">
      <c r="B95" s="66" t="s">
        <v>0</v>
      </c>
      <c r="C95" s="144" t="s">
        <v>1</v>
      </c>
      <c r="D95" s="632"/>
      <c r="E95" s="633"/>
      <c r="F95" s="633"/>
      <c r="G95" s="633"/>
      <c r="H95" s="634"/>
      <c r="I95" s="145" t="s">
        <v>5</v>
      </c>
      <c r="J95" s="67" t="s">
        <v>6</v>
      </c>
      <c r="K95" s="67" t="s">
        <v>7</v>
      </c>
      <c r="L95" s="140" t="s">
        <v>8</v>
      </c>
    </row>
    <row r="96" spans="2:14" s="247" customFormat="1" ht="15.75" x14ac:dyDescent="0.25">
      <c r="B96" s="241"/>
      <c r="C96" s="606" t="s">
        <v>165</v>
      </c>
      <c r="D96" s="635" t="s">
        <v>2</v>
      </c>
      <c r="E96" s="637" t="s">
        <v>3</v>
      </c>
      <c r="F96" s="639" t="s">
        <v>4</v>
      </c>
      <c r="G96" s="640"/>
      <c r="H96" s="641"/>
      <c r="I96" s="624" t="s">
        <v>10</v>
      </c>
      <c r="J96" s="626">
        <v>1</v>
      </c>
      <c r="K96" s="628"/>
      <c r="L96" s="630">
        <f>+SUM(L98:L104)</f>
        <v>2180.359438502674</v>
      </c>
      <c r="N96" s="302">
        <f>+L96</f>
        <v>2180.359438502674</v>
      </c>
    </row>
    <row r="97" spans="2:14" s="247" customFormat="1" ht="15.75" x14ac:dyDescent="0.25">
      <c r="B97" s="242"/>
      <c r="C97" s="607"/>
      <c r="D97" s="636"/>
      <c r="E97" s="638"/>
      <c r="F97" s="642"/>
      <c r="G97" s="643"/>
      <c r="H97" s="644"/>
      <c r="I97" s="625"/>
      <c r="J97" s="627"/>
      <c r="K97" s="629"/>
      <c r="L97" s="631">
        <v>15685.891</v>
      </c>
    </row>
    <row r="98" spans="2:14" s="247" customFormat="1" ht="15.75" x14ac:dyDescent="0.25">
      <c r="B98" s="242"/>
      <c r="C98" s="150" t="s">
        <v>150</v>
      </c>
      <c r="D98" s="233">
        <v>1</v>
      </c>
      <c r="E98" s="235">
        <v>11</v>
      </c>
      <c r="F98" s="235" t="s">
        <v>10</v>
      </c>
      <c r="G98" s="204" t="s">
        <v>14</v>
      </c>
      <c r="H98" s="236" t="s">
        <v>105</v>
      </c>
      <c r="I98" s="252" t="s">
        <v>105</v>
      </c>
      <c r="J98" s="186">
        <f>+D98/E98/D98</f>
        <v>9.0909090909090912E-2</v>
      </c>
      <c r="K98" s="226">
        <f>+'Mat y mano obra'!D16/8</f>
        <v>20000</v>
      </c>
      <c r="L98" s="102">
        <f>+K98*J98</f>
        <v>1818.1818181818182</v>
      </c>
    </row>
    <row r="99" spans="2:14" s="247" customFormat="1" ht="15.75" x14ac:dyDescent="0.25">
      <c r="B99" s="242"/>
      <c r="C99" s="150" t="s">
        <v>151</v>
      </c>
      <c r="D99" s="233"/>
      <c r="E99" s="235"/>
      <c r="F99" s="235"/>
      <c r="G99" s="204"/>
      <c r="H99" s="236"/>
      <c r="I99" s="252"/>
      <c r="J99" s="186"/>
      <c r="K99" s="102"/>
      <c r="L99" s="102"/>
    </row>
    <row r="100" spans="2:14" s="247" customFormat="1" ht="15.75" x14ac:dyDescent="0.25">
      <c r="B100" s="242"/>
      <c r="C100" s="150" t="s">
        <v>152</v>
      </c>
      <c r="D100" s="233">
        <v>0.5</v>
      </c>
      <c r="E100" s="235">
        <f>+E98*8.5/D100</f>
        <v>187</v>
      </c>
      <c r="F100" s="235" t="s">
        <v>10</v>
      </c>
      <c r="G100" s="204" t="s">
        <v>14</v>
      </c>
      <c r="H100" s="236" t="s">
        <v>15</v>
      </c>
      <c r="I100" s="252" t="s">
        <v>15</v>
      </c>
      <c r="J100" s="186">
        <f>+D100/E100/D100</f>
        <v>5.3475935828877002E-3</v>
      </c>
      <c r="K100" s="102">
        <f>+'Mat y mano obra'!D8</f>
        <v>10187</v>
      </c>
      <c r="L100" s="102">
        <f>+K100*J100</f>
        <v>54.475935828876999</v>
      </c>
    </row>
    <row r="101" spans="2:14" s="247" customFormat="1" ht="15.75" x14ac:dyDescent="0.25">
      <c r="B101" s="242"/>
      <c r="C101" s="150" t="s">
        <v>153</v>
      </c>
      <c r="D101" s="233"/>
      <c r="E101" s="235"/>
      <c r="F101" s="235"/>
      <c r="G101" s="204"/>
      <c r="H101" s="236"/>
      <c r="I101" s="252"/>
      <c r="J101" s="186"/>
      <c r="K101" s="102"/>
      <c r="L101" s="102"/>
    </row>
    <row r="102" spans="2:14" s="247" customFormat="1" ht="15.75" x14ac:dyDescent="0.25">
      <c r="B102" s="242"/>
      <c r="C102" s="150" t="s">
        <v>147</v>
      </c>
      <c r="D102" s="233">
        <v>0.75</v>
      </c>
      <c r="E102" s="235">
        <f>+E100*D100/D102</f>
        <v>124.66666666666667</v>
      </c>
      <c r="F102" s="235" t="s">
        <v>10</v>
      </c>
      <c r="G102" s="204" t="s">
        <v>14</v>
      </c>
      <c r="H102" s="236" t="s">
        <v>15</v>
      </c>
      <c r="I102" s="252" t="s">
        <v>15</v>
      </c>
      <c r="J102" s="186">
        <f>+D102/E102/D102</f>
        <v>8.0213903743315499E-3</v>
      </c>
      <c r="K102" s="102">
        <f>+'Mat y mano obra'!D4</f>
        <v>21535</v>
      </c>
      <c r="L102" s="102">
        <f>+K102*J102</f>
        <v>172.74064171122993</v>
      </c>
    </row>
    <row r="103" spans="2:14" s="247" customFormat="1" ht="15.75" x14ac:dyDescent="0.25">
      <c r="B103" s="242"/>
      <c r="C103" s="253" t="s">
        <v>110</v>
      </c>
      <c r="D103" s="233"/>
      <c r="E103" s="235"/>
      <c r="F103" s="235"/>
      <c r="G103" s="204"/>
      <c r="H103" s="236"/>
      <c r="I103" s="252" t="s">
        <v>26</v>
      </c>
      <c r="J103" s="106">
        <v>10</v>
      </c>
      <c r="K103" s="102"/>
      <c r="L103" s="102">
        <f>+L100*J103%</f>
        <v>5.4475935828877002</v>
      </c>
    </row>
    <row r="104" spans="2:14" s="247" customFormat="1" ht="16.5" thickBot="1" x14ac:dyDescent="0.3">
      <c r="B104" s="243"/>
      <c r="C104" s="153" t="s">
        <v>49</v>
      </c>
      <c r="D104" s="237"/>
      <c r="E104" s="238"/>
      <c r="F104" s="238"/>
      <c r="G104" s="207"/>
      <c r="H104" s="239"/>
      <c r="I104" s="262" t="s">
        <v>26</v>
      </c>
      <c r="J104" s="106">
        <v>57</v>
      </c>
      <c r="K104" s="102"/>
      <c r="L104" s="102">
        <f>+(L102+L100)*J104%</f>
        <v>129.51344919786095</v>
      </c>
    </row>
    <row r="105" spans="2:14" s="247" customFormat="1" ht="15.75" x14ac:dyDescent="0.25">
      <c r="B105" s="249"/>
      <c r="C105" s="250"/>
      <c r="D105" s="249"/>
      <c r="E105" s="249"/>
      <c r="F105" s="248"/>
      <c r="G105" s="248"/>
      <c r="H105" s="248"/>
      <c r="I105" s="248"/>
      <c r="J105" s="249"/>
    </row>
    <row r="106" spans="2:14" s="247" customFormat="1" ht="16.5" thickBot="1" x14ac:dyDescent="0.3">
      <c r="B106" s="249"/>
      <c r="C106" s="250"/>
      <c r="D106" s="249"/>
      <c r="E106" s="249"/>
      <c r="F106" s="248"/>
      <c r="G106" s="248"/>
      <c r="H106" s="248"/>
      <c r="I106" s="248"/>
      <c r="J106" s="249"/>
    </row>
    <row r="107" spans="2:14" s="247" customFormat="1" ht="15.75" thickBot="1" x14ac:dyDescent="0.3">
      <c r="B107" s="66" t="s">
        <v>0</v>
      </c>
      <c r="C107" s="144" t="s">
        <v>1</v>
      </c>
      <c r="D107" s="632"/>
      <c r="E107" s="633"/>
      <c r="F107" s="633"/>
      <c r="G107" s="633"/>
      <c r="H107" s="634"/>
      <c r="I107" s="145" t="s">
        <v>5</v>
      </c>
      <c r="J107" s="67" t="s">
        <v>6</v>
      </c>
      <c r="K107" s="67" t="s">
        <v>7</v>
      </c>
      <c r="L107" s="140" t="s">
        <v>8</v>
      </c>
    </row>
    <row r="108" spans="2:14" s="247" customFormat="1" ht="15.75" x14ac:dyDescent="0.25">
      <c r="B108" s="241"/>
      <c r="C108" s="606" t="s">
        <v>173</v>
      </c>
      <c r="D108" s="635" t="s">
        <v>2</v>
      </c>
      <c r="E108" s="637" t="s">
        <v>3</v>
      </c>
      <c r="F108" s="639" t="s">
        <v>4</v>
      </c>
      <c r="G108" s="640"/>
      <c r="H108" s="641"/>
      <c r="I108" s="624" t="s">
        <v>10</v>
      </c>
      <c r="J108" s="626">
        <v>1</v>
      </c>
      <c r="K108" s="628"/>
      <c r="L108" s="654">
        <f>+SUM(L110:L116)</f>
        <v>2226.5433556149728</v>
      </c>
      <c r="N108" s="302">
        <f>+L108</f>
        <v>2226.5433556149728</v>
      </c>
    </row>
    <row r="109" spans="2:14" s="247" customFormat="1" ht="15.75" x14ac:dyDescent="0.25">
      <c r="B109" s="242"/>
      <c r="C109" s="607"/>
      <c r="D109" s="636"/>
      <c r="E109" s="638"/>
      <c r="F109" s="642"/>
      <c r="G109" s="643"/>
      <c r="H109" s="644"/>
      <c r="I109" s="625"/>
      <c r="J109" s="627"/>
      <c r="K109" s="629"/>
      <c r="L109" s="655">
        <v>15685.891</v>
      </c>
    </row>
    <row r="110" spans="2:14" s="247" customFormat="1" ht="15.75" x14ac:dyDescent="0.25">
      <c r="B110" s="242"/>
      <c r="C110" s="150" t="s">
        <v>174</v>
      </c>
      <c r="D110" s="233">
        <v>1</v>
      </c>
      <c r="E110" s="235">
        <f>+rendimiento!C34</f>
        <v>22</v>
      </c>
      <c r="F110" s="235" t="s">
        <v>10</v>
      </c>
      <c r="G110" s="204" t="s">
        <v>14</v>
      </c>
      <c r="H110" s="236" t="s">
        <v>105</v>
      </c>
      <c r="I110" s="252" t="s">
        <v>105</v>
      </c>
      <c r="J110" s="186">
        <f>+D110/E110/D110</f>
        <v>4.5454545454545456E-2</v>
      </c>
      <c r="K110" s="226">
        <f>+'Mat y mano obra'!D15</f>
        <v>45000</v>
      </c>
      <c r="L110" s="228">
        <f>+K110*J110</f>
        <v>2045.4545454545455</v>
      </c>
    </row>
    <row r="111" spans="2:14" s="247" customFormat="1" ht="15.75" x14ac:dyDescent="0.25">
      <c r="B111" s="242"/>
      <c r="C111" s="150" t="s">
        <v>175</v>
      </c>
      <c r="D111" s="233"/>
      <c r="E111" s="235"/>
      <c r="F111" s="235"/>
      <c r="G111" s="204"/>
      <c r="H111" s="236"/>
      <c r="I111" s="252"/>
      <c r="J111" s="186"/>
      <c r="K111" s="226"/>
      <c r="L111" s="228"/>
    </row>
    <row r="112" spans="2:14" s="247" customFormat="1" ht="15.75" x14ac:dyDescent="0.25">
      <c r="B112" s="242"/>
      <c r="C112" s="150" t="s">
        <v>176</v>
      </c>
      <c r="D112" s="233">
        <v>0.5</v>
      </c>
      <c r="E112" s="235">
        <f>+E110*8.5/D112</f>
        <v>374</v>
      </c>
      <c r="F112" s="235" t="s">
        <v>10</v>
      </c>
      <c r="G112" s="204" t="s">
        <v>14</v>
      </c>
      <c r="H112" s="236" t="s">
        <v>15</v>
      </c>
      <c r="I112" s="252" t="s">
        <v>15</v>
      </c>
      <c r="J112" s="186">
        <f>+D112/E112/D112</f>
        <v>2.6737967914438501E-3</v>
      </c>
      <c r="K112" s="102">
        <f>+'Mat y mano obra'!D8</f>
        <v>10187</v>
      </c>
      <c r="L112" s="228">
        <f>+K112*J112</f>
        <v>27.237967914438499</v>
      </c>
    </row>
    <row r="113" spans="2:14" s="247" customFormat="1" ht="15.75" x14ac:dyDescent="0.25">
      <c r="B113" s="242"/>
      <c r="C113" s="150" t="s">
        <v>153</v>
      </c>
      <c r="D113" s="233"/>
      <c r="E113" s="235"/>
      <c r="F113" s="235"/>
      <c r="G113" s="204"/>
      <c r="H113" s="236"/>
      <c r="I113" s="252"/>
      <c r="J113" s="186"/>
      <c r="K113" s="102"/>
      <c r="L113" s="228"/>
    </row>
    <row r="114" spans="2:14" s="247" customFormat="1" ht="15.75" x14ac:dyDescent="0.25">
      <c r="B114" s="242"/>
      <c r="C114" s="150" t="s">
        <v>147</v>
      </c>
      <c r="D114" s="233">
        <v>0.75</v>
      </c>
      <c r="E114" s="235">
        <f>+E112*D112/D114</f>
        <v>249.33333333333334</v>
      </c>
      <c r="F114" s="235" t="s">
        <v>10</v>
      </c>
      <c r="G114" s="204" t="s">
        <v>14</v>
      </c>
      <c r="H114" s="236" t="s">
        <v>15</v>
      </c>
      <c r="I114" s="252" t="s">
        <v>15</v>
      </c>
      <c r="J114" s="186">
        <f>+D114/E114/D114</f>
        <v>4.010695187165775E-3</v>
      </c>
      <c r="K114" s="102">
        <f>+'Mat y mano obra'!D4</f>
        <v>21535</v>
      </c>
      <c r="L114" s="228">
        <f>+K114*J114</f>
        <v>86.370320855614963</v>
      </c>
    </row>
    <row r="115" spans="2:14" s="247" customFormat="1" ht="15.75" x14ac:dyDescent="0.25">
      <c r="B115" s="242"/>
      <c r="C115" s="253" t="s">
        <v>110</v>
      </c>
      <c r="D115" s="233"/>
      <c r="E115" s="235"/>
      <c r="F115" s="235"/>
      <c r="G115" s="204"/>
      <c r="H115" s="236"/>
      <c r="I115" s="252" t="s">
        <v>26</v>
      </c>
      <c r="J115" s="106">
        <v>10</v>
      </c>
      <c r="K115" s="102"/>
      <c r="L115" s="228">
        <f>+L112*J115%</f>
        <v>2.7237967914438501</v>
      </c>
    </row>
    <row r="116" spans="2:14" s="247" customFormat="1" ht="16.5" thickBot="1" x14ac:dyDescent="0.3">
      <c r="B116" s="243"/>
      <c r="C116" s="153" t="s">
        <v>49</v>
      </c>
      <c r="D116" s="237"/>
      <c r="E116" s="238"/>
      <c r="F116" s="238"/>
      <c r="G116" s="207"/>
      <c r="H116" s="239"/>
      <c r="I116" s="262" t="s">
        <v>26</v>
      </c>
      <c r="J116" s="64">
        <v>57</v>
      </c>
      <c r="K116" s="65"/>
      <c r="L116" s="229">
        <f>+(L114+L112)*J116%</f>
        <v>64.756724598930475</v>
      </c>
    </row>
    <row r="117" spans="2:14" s="247" customFormat="1" ht="15.75" x14ac:dyDescent="0.25">
      <c r="B117" s="240"/>
      <c r="C117" s="188"/>
      <c r="D117" s="270"/>
      <c r="E117" s="270"/>
      <c r="F117" s="270"/>
      <c r="G117" s="201"/>
      <c r="H117" s="270"/>
      <c r="I117" s="270"/>
      <c r="J117" s="187"/>
      <c r="K117" s="189"/>
      <c r="L117" s="189"/>
    </row>
    <row r="118" spans="2:14" s="247" customFormat="1" ht="16.5" thickBot="1" x14ac:dyDescent="0.3">
      <c r="B118" s="240"/>
      <c r="C118" s="188"/>
      <c r="D118" s="270"/>
      <c r="E118" s="270"/>
      <c r="F118" s="270"/>
      <c r="G118" s="201"/>
      <c r="H118" s="270"/>
      <c r="I118" s="270"/>
      <c r="J118" s="187"/>
      <c r="K118" s="189"/>
      <c r="L118" s="189"/>
    </row>
    <row r="119" spans="2:14" s="247" customFormat="1" ht="15.75" thickBot="1" x14ac:dyDescent="0.3">
      <c r="B119" s="222" t="s">
        <v>0</v>
      </c>
      <c r="C119" s="266" t="s">
        <v>1</v>
      </c>
      <c r="D119" s="632"/>
      <c r="E119" s="633"/>
      <c r="F119" s="633"/>
      <c r="G119" s="633"/>
      <c r="H119" s="634"/>
      <c r="I119" s="267" t="s">
        <v>5</v>
      </c>
      <c r="J119" s="223" t="s">
        <v>6</v>
      </c>
      <c r="K119" s="223" t="s">
        <v>7</v>
      </c>
      <c r="L119" s="268" t="s">
        <v>8</v>
      </c>
    </row>
    <row r="120" spans="2:14" s="247" customFormat="1" ht="15.75" x14ac:dyDescent="0.25">
      <c r="B120" s="191"/>
      <c r="C120" s="658" t="s">
        <v>166</v>
      </c>
      <c r="D120" s="660" t="s">
        <v>2</v>
      </c>
      <c r="E120" s="662" t="s">
        <v>3</v>
      </c>
      <c r="F120" s="664" t="s">
        <v>4</v>
      </c>
      <c r="G120" s="664"/>
      <c r="H120" s="665"/>
      <c r="I120" s="624" t="s">
        <v>10</v>
      </c>
      <c r="J120" s="626">
        <v>1</v>
      </c>
      <c r="K120" s="656"/>
      <c r="L120" s="654">
        <f>+SUM(L122:L134)</f>
        <v>1354.8493067226891</v>
      </c>
      <c r="N120" s="302">
        <f>+L120</f>
        <v>1354.8493067226891</v>
      </c>
    </row>
    <row r="121" spans="2:14" s="247" customFormat="1" ht="15.75" x14ac:dyDescent="0.25">
      <c r="B121" s="241"/>
      <c r="C121" s="659"/>
      <c r="D121" s="661"/>
      <c r="E121" s="663"/>
      <c r="F121" s="666"/>
      <c r="G121" s="666"/>
      <c r="H121" s="667"/>
      <c r="I121" s="625"/>
      <c r="J121" s="627"/>
      <c r="K121" s="657"/>
      <c r="L121" s="655">
        <v>15685.891</v>
      </c>
    </row>
    <row r="122" spans="2:14" s="247" customFormat="1" ht="15.75" x14ac:dyDescent="0.25">
      <c r="B122" s="242"/>
      <c r="C122" s="150" t="s">
        <v>154</v>
      </c>
      <c r="D122" s="233"/>
      <c r="E122" s="235"/>
      <c r="F122" s="235"/>
      <c r="G122" s="204"/>
      <c r="H122" s="236"/>
      <c r="I122" s="269"/>
      <c r="J122" s="186"/>
      <c r="K122" s="102"/>
      <c r="L122" s="228"/>
    </row>
    <row r="123" spans="2:14" s="247" customFormat="1" ht="15.75" x14ac:dyDescent="0.25">
      <c r="B123" s="242"/>
      <c r="C123" s="150" t="s">
        <v>155</v>
      </c>
      <c r="D123" s="233"/>
      <c r="E123" s="235"/>
      <c r="F123" s="235"/>
      <c r="G123" s="204"/>
      <c r="H123" s="236"/>
      <c r="I123" s="269"/>
      <c r="J123" s="186"/>
      <c r="K123" s="102"/>
      <c r="L123" s="228"/>
    </row>
    <row r="124" spans="2:14" s="247" customFormat="1" ht="15.75" x14ac:dyDescent="0.25">
      <c r="B124" s="242"/>
      <c r="C124" s="150" t="s">
        <v>156</v>
      </c>
      <c r="D124" s="233"/>
      <c r="E124" s="235"/>
      <c r="F124" s="235"/>
      <c r="G124" s="204"/>
      <c r="H124" s="236"/>
      <c r="I124" s="269"/>
      <c r="J124" s="186"/>
      <c r="K124" s="102"/>
      <c r="L124" s="228"/>
    </row>
    <row r="125" spans="2:14" s="247" customFormat="1" ht="15.75" x14ac:dyDescent="0.25">
      <c r="B125" s="242"/>
      <c r="C125" s="150" t="s">
        <v>157</v>
      </c>
      <c r="D125" s="233">
        <v>1</v>
      </c>
      <c r="E125" s="235">
        <f>+rendimiento!C35</f>
        <v>56</v>
      </c>
      <c r="F125" s="235" t="s">
        <v>10</v>
      </c>
      <c r="G125" s="204" t="s">
        <v>14</v>
      </c>
      <c r="H125" s="236" t="s">
        <v>105</v>
      </c>
      <c r="I125" s="252" t="s">
        <v>105</v>
      </c>
      <c r="J125" s="186">
        <f>+D125/E125/D125</f>
        <v>1.7857142857142856E-2</v>
      </c>
      <c r="K125" s="226">
        <f>+'Mat y mano obra'!D17</f>
        <v>50000</v>
      </c>
      <c r="L125" s="228">
        <f>+K125*J125</f>
        <v>892.85714285714278</v>
      </c>
    </row>
    <row r="126" spans="2:14" s="247" customFormat="1" ht="15.75" x14ac:dyDescent="0.25">
      <c r="B126" s="242"/>
      <c r="C126" s="253" t="s">
        <v>158</v>
      </c>
      <c r="D126" s="233">
        <v>1</v>
      </c>
      <c r="E126" s="235">
        <f>+E125*8.5</f>
        <v>476</v>
      </c>
      <c r="F126" s="235" t="s">
        <v>10</v>
      </c>
      <c r="G126" s="204" t="s">
        <v>14</v>
      </c>
      <c r="H126" s="236" t="s">
        <v>15</v>
      </c>
      <c r="I126" s="252" t="s">
        <v>15</v>
      </c>
      <c r="J126" s="186">
        <f>+D126/E126/D126</f>
        <v>2.1008403361344537E-3</v>
      </c>
      <c r="K126" s="226">
        <f>+'Mat y mano obra'!D18</f>
        <v>50000</v>
      </c>
      <c r="L126" s="228">
        <f>+K126*J126</f>
        <v>105.04201680672269</v>
      </c>
    </row>
    <row r="127" spans="2:14" s="247" customFormat="1" ht="15.75" x14ac:dyDescent="0.25">
      <c r="B127" s="242"/>
      <c r="C127" s="150" t="s">
        <v>159</v>
      </c>
      <c r="D127" s="233"/>
      <c r="E127" s="235"/>
      <c r="F127" s="235"/>
      <c r="G127" s="204"/>
      <c r="H127" s="236"/>
      <c r="I127" s="252"/>
      <c r="J127" s="186"/>
      <c r="K127" s="102"/>
      <c r="L127" s="228"/>
    </row>
    <row r="128" spans="2:14" s="247" customFormat="1" ht="15.75" x14ac:dyDescent="0.25">
      <c r="B128" s="242"/>
      <c r="C128" s="253" t="s">
        <v>160</v>
      </c>
      <c r="D128" s="233"/>
      <c r="E128" s="235"/>
      <c r="F128" s="235"/>
      <c r="G128" s="204"/>
      <c r="H128" s="236"/>
      <c r="I128" s="252"/>
      <c r="J128" s="186"/>
      <c r="K128" s="102"/>
      <c r="L128" s="228"/>
    </row>
    <row r="129" spans="2:12" s="247" customFormat="1" ht="15.75" x14ac:dyDescent="0.25">
      <c r="B129" s="242"/>
      <c r="C129" s="150" t="s">
        <v>161</v>
      </c>
      <c r="D129" s="233">
        <v>1</v>
      </c>
      <c r="E129" s="235">
        <f>+E125*8.5</f>
        <v>476</v>
      </c>
      <c r="F129" s="235" t="s">
        <v>10</v>
      </c>
      <c r="G129" s="204" t="s">
        <v>14</v>
      </c>
      <c r="H129" s="236" t="s">
        <v>15</v>
      </c>
      <c r="I129" s="252" t="s">
        <v>15</v>
      </c>
      <c r="J129" s="186">
        <f>+D129/E129/D129</f>
        <v>2.1008403361344537E-3</v>
      </c>
      <c r="K129" s="102">
        <f>+'Mat y mano obra'!D8</f>
        <v>10187</v>
      </c>
      <c r="L129" s="228">
        <f>+K129*J129</f>
        <v>21.40126050420168</v>
      </c>
    </row>
    <row r="130" spans="2:12" s="247" customFormat="1" ht="15.75" x14ac:dyDescent="0.25">
      <c r="B130" s="242"/>
      <c r="C130" s="150" t="s">
        <v>109</v>
      </c>
      <c r="D130" s="233">
        <v>7</v>
      </c>
      <c r="E130" s="235">
        <f>+E129/7</f>
        <v>68</v>
      </c>
      <c r="F130" s="235" t="s">
        <v>10</v>
      </c>
      <c r="G130" s="204" t="s">
        <v>14</v>
      </c>
      <c r="H130" s="236" t="s">
        <v>35</v>
      </c>
      <c r="I130" s="252" t="s">
        <v>35</v>
      </c>
      <c r="J130" s="186">
        <f>+D130/E130/D130</f>
        <v>1.4705882352941176E-2</v>
      </c>
      <c r="K130" s="102">
        <f>+'Mat y mano obra'!D8</f>
        <v>10187</v>
      </c>
      <c r="L130" s="228">
        <f>+K130*J130</f>
        <v>149.80882352941177</v>
      </c>
    </row>
    <row r="131" spans="2:12" s="247" customFormat="1" ht="15.75" x14ac:dyDescent="0.25">
      <c r="B131" s="242"/>
      <c r="C131" s="150" t="s">
        <v>162</v>
      </c>
      <c r="D131" s="233"/>
      <c r="E131" s="235"/>
      <c r="F131" s="235"/>
      <c r="G131" s="204"/>
      <c r="H131" s="236"/>
      <c r="I131" s="252"/>
      <c r="J131" s="106"/>
      <c r="K131" s="102"/>
      <c r="L131" s="228"/>
    </row>
    <row r="132" spans="2:12" s="247" customFormat="1" ht="15.75" x14ac:dyDescent="0.25">
      <c r="B132" s="242"/>
      <c r="C132" s="150" t="s">
        <v>110</v>
      </c>
      <c r="D132" s="233"/>
      <c r="E132" s="235"/>
      <c r="F132" s="235"/>
      <c r="G132" s="204"/>
      <c r="H132" s="236"/>
      <c r="I132" s="252" t="s">
        <v>26</v>
      </c>
      <c r="J132" s="106">
        <v>10</v>
      </c>
      <c r="K132" s="102"/>
      <c r="L132" s="228">
        <f>+(L130+L129)*J132%</f>
        <v>17.121008403361344</v>
      </c>
    </row>
    <row r="133" spans="2:12" s="247" customFormat="1" ht="15.75" x14ac:dyDescent="0.25">
      <c r="B133" s="242"/>
      <c r="C133" s="150" t="s">
        <v>37</v>
      </c>
      <c r="D133" s="233">
        <v>1</v>
      </c>
      <c r="E133" s="235">
        <f>+E129</f>
        <v>476</v>
      </c>
      <c r="F133" s="235" t="s">
        <v>10</v>
      </c>
      <c r="G133" s="204" t="s">
        <v>14</v>
      </c>
      <c r="H133" s="236" t="s">
        <v>15</v>
      </c>
      <c r="I133" s="252" t="s">
        <v>15</v>
      </c>
      <c r="J133" s="186">
        <f>+D133/E133/D133</f>
        <v>2.1008403361344537E-3</v>
      </c>
      <c r="K133" s="102">
        <f>+'Mat y mano obra'!D4</f>
        <v>21535</v>
      </c>
      <c r="L133" s="228">
        <f>+K133*J133</f>
        <v>45.241596638655459</v>
      </c>
    </row>
    <row r="134" spans="2:12" s="247" customFormat="1" ht="16.5" thickBot="1" x14ac:dyDescent="0.3">
      <c r="B134" s="243"/>
      <c r="C134" s="153" t="s">
        <v>49</v>
      </c>
      <c r="D134" s="237"/>
      <c r="E134" s="238"/>
      <c r="F134" s="238"/>
      <c r="G134" s="207"/>
      <c r="H134" s="239"/>
      <c r="I134" s="262" t="s">
        <v>26</v>
      </c>
      <c r="J134" s="64">
        <v>57</v>
      </c>
      <c r="K134" s="65"/>
      <c r="L134" s="229">
        <f>+(L133+L130+L129)*J134%</f>
        <v>123.37745798319327</v>
      </c>
    </row>
    <row r="135" spans="2:12" s="247" customFormat="1" ht="15.75" x14ac:dyDescent="0.25">
      <c r="B135" s="240"/>
      <c r="C135" s="188"/>
      <c r="D135" s="270"/>
      <c r="E135" s="270"/>
      <c r="F135" s="270"/>
      <c r="G135" s="201"/>
      <c r="H135" s="270"/>
      <c r="I135" s="270"/>
      <c r="J135" s="187"/>
      <c r="K135" s="189"/>
      <c r="L135" s="189"/>
    </row>
    <row r="136" spans="2:12" s="247" customFormat="1" ht="15.75" thickBot="1" x14ac:dyDescent="0.3"/>
    <row r="137" spans="2:12" s="247" customFormat="1" ht="15.75" thickBot="1" x14ac:dyDescent="0.3">
      <c r="B137" s="271" t="s">
        <v>0</v>
      </c>
      <c r="C137" s="272" t="s">
        <v>1</v>
      </c>
      <c r="D137" s="648"/>
      <c r="E137" s="649"/>
      <c r="F137" s="649"/>
      <c r="G137" s="649"/>
      <c r="H137" s="650"/>
      <c r="I137" s="273" t="s">
        <v>5</v>
      </c>
      <c r="J137" s="274" t="s">
        <v>6</v>
      </c>
      <c r="K137" s="274" t="s">
        <v>7</v>
      </c>
      <c r="L137" s="275" t="s">
        <v>8</v>
      </c>
    </row>
    <row r="138" spans="2:12" x14ac:dyDescent="0.25">
      <c r="B138" s="276"/>
      <c r="C138" s="277" t="s">
        <v>170</v>
      </c>
      <c r="D138" s="278" t="s">
        <v>2</v>
      </c>
      <c r="E138" s="279" t="s">
        <v>3</v>
      </c>
      <c r="F138" s="651" t="s">
        <v>4</v>
      </c>
      <c r="G138" s="652"/>
      <c r="H138" s="653"/>
      <c r="I138" s="252" t="s">
        <v>10</v>
      </c>
      <c r="J138" s="235">
        <v>1</v>
      </c>
      <c r="K138" s="280"/>
      <c r="L138" s="281">
        <f>+SUM(L140:L143)</f>
        <v>2283.702113821138</v>
      </c>
    </row>
    <row r="139" spans="2:12" x14ac:dyDescent="0.25">
      <c r="B139" s="276"/>
      <c r="C139" s="277"/>
      <c r="D139" s="278"/>
      <c r="E139" s="279"/>
      <c r="F139" s="328"/>
      <c r="G139" s="329"/>
      <c r="H139" s="330"/>
      <c r="I139" s="252"/>
      <c r="J139" s="235"/>
      <c r="K139" s="280"/>
      <c r="L139" s="281"/>
    </row>
    <row r="140" spans="2:12" ht="15.75" x14ac:dyDescent="0.25">
      <c r="B140" s="282"/>
      <c r="C140" s="283" t="s">
        <v>150</v>
      </c>
      <c r="D140" s="233">
        <v>1</v>
      </c>
      <c r="E140" s="235">
        <f>+rendimiento!C36</f>
        <v>82</v>
      </c>
      <c r="F140" s="235"/>
      <c r="G140" s="284"/>
      <c r="H140" s="236"/>
      <c r="I140" s="252" t="s">
        <v>15</v>
      </c>
      <c r="J140" s="234">
        <f>+D140/E140/D140</f>
        <v>1.2195121951219513E-2</v>
      </c>
      <c r="K140" s="285">
        <f>+'Mat y mano obra'!D16</f>
        <v>160000</v>
      </c>
      <c r="L140" s="286">
        <f>+K140*J140</f>
        <v>1951.219512195122</v>
      </c>
    </row>
    <row r="141" spans="2:12" ht="15.75" x14ac:dyDescent="0.25">
      <c r="B141" s="282"/>
      <c r="C141" s="283" t="s">
        <v>171</v>
      </c>
      <c r="D141" s="233">
        <v>1</v>
      </c>
      <c r="E141" s="235">
        <f>+E140</f>
        <v>82</v>
      </c>
      <c r="F141" s="235"/>
      <c r="G141" s="284"/>
      <c r="H141" s="236"/>
      <c r="I141" s="252" t="s">
        <v>15</v>
      </c>
      <c r="J141" s="234">
        <f>+D141/E141/D141</f>
        <v>1.2195121951219513E-2</v>
      </c>
      <c r="K141" s="286">
        <f>+'Mat y mano obra'!D8</f>
        <v>10187</v>
      </c>
      <c r="L141" s="286">
        <f>+K141*J141</f>
        <v>124.23170731707317</v>
      </c>
    </row>
    <row r="142" spans="2:12" ht="15.75" x14ac:dyDescent="0.25">
      <c r="B142" s="282"/>
      <c r="C142" s="283" t="s">
        <v>168</v>
      </c>
      <c r="D142" s="233">
        <f>1/3</f>
        <v>0.33333333333333331</v>
      </c>
      <c r="E142" s="235">
        <f>+E141/D142</f>
        <v>246</v>
      </c>
      <c r="F142" s="235"/>
      <c r="G142" s="284"/>
      <c r="H142" s="236"/>
      <c r="I142" s="252" t="s">
        <v>169</v>
      </c>
      <c r="J142" s="234">
        <f>+D142/E142/D142</f>
        <v>4.0650406504065045E-3</v>
      </c>
      <c r="K142" s="286">
        <f>+'Mat y mano obra'!D4</f>
        <v>21535</v>
      </c>
      <c r="L142" s="286">
        <f>+K142*J142</f>
        <v>87.540650406504071</v>
      </c>
    </row>
    <row r="143" spans="2:12" ht="16.5" thickBot="1" x14ac:dyDescent="0.3">
      <c r="B143" s="287"/>
      <c r="C143" s="288" t="s">
        <v>49</v>
      </c>
      <c r="D143" s="237"/>
      <c r="E143" s="238"/>
      <c r="F143" s="238"/>
      <c r="G143" s="289"/>
      <c r="H143" s="239"/>
      <c r="I143" s="262" t="s">
        <v>26</v>
      </c>
      <c r="J143" s="235">
        <v>57</v>
      </c>
      <c r="K143" s="286" t="s">
        <v>27</v>
      </c>
      <c r="L143" s="286">
        <f>+(L142+L141)*J143%</f>
        <v>120.71024390243902</v>
      </c>
    </row>
    <row r="145" spans="2:12" ht="15.75" thickBot="1" x14ac:dyDescent="0.3"/>
    <row r="146" spans="2:12" ht="15.75" thickBot="1" x14ac:dyDescent="0.3">
      <c r="B146" s="271" t="s">
        <v>0</v>
      </c>
      <c r="C146" s="272" t="s">
        <v>1</v>
      </c>
      <c r="D146" s="648"/>
      <c r="E146" s="649"/>
      <c r="F146" s="649"/>
      <c r="G146" s="649"/>
      <c r="H146" s="650"/>
      <c r="I146" s="273" t="s">
        <v>5</v>
      </c>
      <c r="J146" s="274" t="s">
        <v>6</v>
      </c>
      <c r="K146" s="274" t="s">
        <v>7</v>
      </c>
      <c r="L146" s="275" t="s">
        <v>8</v>
      </c>
    </row>
    <row r="147" spans="2:12" x14ac:dyDescent="0.25">
      <c r="B147" s="276"/>
      <c r="C147" s="277" t="s">
        <v>172</v>
      </c>
      <c r="D147" s="278" t="s">
        <v>2</v>
      </c>
      <c r="E147" s="279" t="s">
        <v>3</v>
      </c>
      <c r="F147" s="651" t="s">
        <v>4</v>
      </c>
      <c r="G147" s="652"/>
      <c r="H147" s="653"/>
      <c r="I147" s="252" t="s">
        <v>10</v>
      </c>
      <c r="J147" s="235">
        <v>1</v>
      </c>
      <c r="K147" s="280"/>
      <c r="L147" s="281">
        <f>+SUM(L148:L151)</f>
        <v>1148.8562781186095</v>
      </c>
    </row>
    <row r="148" spans="2:12" ht="15.75" x14ac:dyDescent="0.25">
      <c r="B148" s="282"/>
      <c r="C148" s="150" t="s">
        <v>140</v>
      </c>
      <c r="D148" s="233">
        <v>1</v>
      </c>
      <c r="E148" s="235">
        <f>+rendimiento!C37</f>
        <v>163</v>
      </c>
      <c r="F148" s="235"/>
      <c r="G148" s="284"/>
      <c r="H148" s="236"/>
      <c r="I148" s="252" t="s">
        <v>15</v>
      </c>
      <c r="J148" s="234">
        <f>+D148/E148/D148</f>
        <v>6.1349693251533744E-3</v>
      </c>
      <c r="K148" s="285">
        <f>+'Mat y mano obra'!D16</f>
        <v>160000</v>
      </c>
      <c r="L148" s="286">
        <f>+K148*J148</f>
        <v>981.59509202453989</v>
      </c>
    </row>
    <row r="149" spans="2:12" ht="15.75" x14ac:dyDescent="0.25">
      <c r="B149" s="282"/>
      <c r="C149" s="283" t="s">
        <v>171</v>
      </c>
      <c r="D149" s="233">
        <v>1</v>
      </c>
      <c r="E149" s="235">
        <f>+E148</f>
        <v>163</v>
      </c>
      <c r="F149" s="235"/>
      <c r="G149" s="284"/>
      <c r="H149" s="236"/>
      <c r="I149" s="252" t="s">
        <v>15</v>
      </c>
      <c r="J149" s="234">
        <f>+D149/E149/D149</f>
        <v>6.1349693251533744E-3</v>
      </c>
      <c r="K149" s="286">
        <f>+'Mat y mano obra'!D8</f>
        <v>10187</v>
      </c>
      <c r="L149" s="286">
        <f>+K149*J149</f>
        <v>62.496932515337427</v>
      </c>
    </row>
    <row r="150" spans="2:12" ht="15.75" x14ac:dyDescent="0.25">
      <c r="B150" s="282"/>
      <c r="C150" s="283" t="s">
        <v>168</v>
      </c>
      <c r="D150" s="233">
        <f>1/3</f>
        <v>0.33333333333333331</v>
      </c>
      <c r="E150" s="235">
        <f>+E148/D150</f>
        <v>489</v>
      </c>
      <c r="F150" s="235"/>
      <c r="G150" s="284"/>
      <c r="H150" s="236"/>
      <c r="I150" s="252" t="s">
        <v>169</v>
      </c>
      <c r="J150" s="234">
        <f>+D150/E150/D150</f>
        <v>2.0449897750511245E-3</v>
      </c>
      <c r="K150" s="286">
        <f>+'Mat y mano obra'!D4</f>
        <v>21535</v>
      </c>
      <c r="L150" s="286">
        <f>+K150*J150</f>
        <v>44.038854805725968</v>
      </c>
    </row>
    <row r="151" spans="2:12" ht="16.5" thickBot="1" x14ac:dyDescent="0.3">
      <c r="B151" s="287"/>
      <c r="C151" s="288" t="s">
        <v>49</v>
      </c>
      <c r="D151" s="237"/>
      <c r="E151" s="238"/>
      <c r="F151" s="238"/>
      <c r="G151" s="289"/>
      <c r="H151" s="239"/>
      <c r="I151" s="262" t="s">
        <v>26</v>
      </c>
      <c r="J151" s="235">
        <v>57</v>
      </c>
      <c r="K151" s="286" t="s">
        <v>27</v>
      </c>
      <c r="L151" s="286">
        <f>+(L150+L149)*J151%</f>
        <v>60.725398773006127</v>
      </c>
    </row>
    <row r="152" spans="2:12" ht="15.75" thickBot="1" x14ac:dyDescent="0.3"/>
    <row r="153" spans="2:12" ht="15.75" thickBot="1" x14ac:dyDescent="0.3">
      <c r="B153" s="222" t="s">
        <v>0</v>
      </c>
      <c r="C153" s="223" t="s">
        <v>1</v>
      </c>
      <c r="D153" s="224"/>
      <c r="E153" s="224"/>
      <c r="F153" s="224"/>
      <c r="G153" s="224"/>
      <c r="H153" s="224"/>
      <c r="I153" s="224" t="s">
        <v>5</v>
      </c>
      <c r="J153" s="224" t="s">
        <v>6</v>
      </c>
      <c r="K153" s="224" t="s">
        <v>7</v>
      </c>
      <c r="L153" s="225" t="s">
        <v>8</v>
      </c>
    </row>
    <row r="154" spans="2:12" ht="15.75" thickBot="1" x14ac:dyDescent="0.3">
      <c r="B154" s="209"/>
      <c r="C154" s="208" t="s">
        <v>227</v>
      </c>
      <c r="D154" s="194" t="s">
        <v>2</v>
      </c>
      <c r="E154" s="195" t="s">
        <v>3</v>
      </c>
      <c r="F154" s="645" t="s">
        <v>4</v>
      </c>
      <c r="G154" s="646"/>
      <c r="H154" s="647"/>
      <c r="I154" s="205" t="s">
        <v>10</v>
      </c>
      <c r="J154" s="205">
        <v>1</v>
      </c>
      <c r="K154" s="205"/>
      <c r="L154" s="210">
        <f>+SUM(L155:L165)</f>
        <v>4464.4664074074062</v>
      </c>
    </row>
    <row r="155" spans="2:12" x14ac:dyDescent="0.25">
      <c r="B155" s="123"/>
      <c r="C155" s="214" t="s">
        <v>108</v>
      </c>
      <c r="D155" s="124"/>
      <c r="E155" s="124">
        <f>+rendimiento!C38</f>
        <v>15</v>
      </c>
      <c r="F155" s="124" t="s">
        <v>10</v>
      </c>
      <c r="G155" s="124" t="s">
        <v>14</v>
      </c>
      <c r="H155" s="124" t="s">
        <v>15</v>
      </c>
      <c r="I155" s="124" t="s">
        <v>15</v>
      </c>
      <c r="J155" s="211"/>
      <c r="K155" s="124"/>
      <c r="L155" s="227"/>
    </row>
    <row r="156" spans="2:12" x14ac:dyDescent="0.25">
      <c r="B156" s="109"/>
      <c r="C156" s="215" t="s">
        <v>109</v>
      </c>
      <c r="D156" s="106">
        <v>1.5</v>
      </c>
      <c r="E156" s="106">
        <f>+E155/D156</f>
        <v>10</v>
      </c>
      <c r="F156" s="106" t="s">
        <v>10</v>
      </c>
      <c r="G156" s="106" t="s">
        <v>14</v>
      </c>
      <c r="H156" s="106" t="s">
        <v>15</v>
      </c>
      <c r="I156" s="106" t="s">
        <v>35</v>
      </c>
      <c r="J156" s="186">
        <f>+D156/E156/D156</f>
        <v>9.9999999999999992E-2</v>
      </c>
      <c r="K156" s="106">
        <f>+'Mat y mano obra'!D8</f>
        <v>10187</v>
      </c>
      <c r="L156" s="228">
        <f>+K156*J156</f>
        <v>1018.6999999999999</v>
      </c>
    </row>
    <row r="157" spans="2:12" x14ac:dyDescent="0.25">
      <c r="B157" s="109"/>
      <c r="C157" s="215" t="s">
        <v>110</v>
      </c>
      <c r="D157" s="106"/>
      <c r="E157" s="106"/>
      <c r="F157" s="106"/>
      <c r="G157" s="106"/>
      <c r="H157" s="106" t="s">
        <v>26</v>
      </c>
      <c r="I157" s="106"/>
      <c r="J157" s="219">
        <v>10</v>
      </c>
      <c r="K157" s="106"/>
      <c r="L157" s="228">
        <f>+L156*J157%</f>
        <v>101.87</v>
      </c>
    </row>
    <row r="158" spans="2:12" x14ac:dyDescent="0.25">
      <c r="B158" s="212"/>
      <c r="C158" s="216" t="s">
        <v>111</v>
      </c>
      <c r="D158" s="106"/>
      <c r="E158" s="106"/>
      <c r="F158" s="106"/>
      <c r="G158" s="106"/>
      <c r="H158" s="106"/>
      <c r="I158" s="106"/>
      <c r="J158" s="186"/>
      <c r="K158" s="106"/>
      <c r="L158" s="228"/>
    </row>
    <row r="159" spans="2:12" x14ac:dyDescent="0.25">
      <c r="B159" s="104"/>
      <c r="C159" s="217" t="s">
        <v>112</v>
      </c>
      <c r="D159" s="106">
        <v>1</v>
      </c>
      <c r="E159" s="106">
        <f>+E155*1.2</f>
        <v>18</v>
      </c>
      <c r="F159" s="106" t="s">
        <v>10</v>
      </c>
      <c r="G159" s="106" t="s">
        <v>14</v>
      </c>
      <c r="H159" s="106" t="s">
        <v>15</v>
      </c>
      <c r="I159" s="106" t="s">
        <v>15</v>
      </c>
      <c r="J159" s="186">
        <f>+D159/E159/D159</f>
        <v>5.5555555555555552E-2</v>
      </c>
      <c r="K159" s="226">
        <f>+'Mat y mano obra'!D14</f>
        <v>19556</v>
      </c>
      <c r="L159" s="228">
        <f>+K159*J159</f>
        <v>1086.4444444444443</v>
      </c>
    </row>
    <row r="160" spans="2:12" x14ac:dyDescent="0.25">
      <c r="B160" s="104"/>
      <c r="C160" s="217" t="s">
        <v>137</v>
      </c>
      <c r="D160" s="106"/>
      <c r="E160" s="106"/>
      <c r="F160" s="106"/>
      <c r="G160" s="106"/>
      <c r="H160" s="106"/>
      <c r="I160" s="106"/>
      <c r="J160" s="186"/>
      <c r="K160" s="102"/>
      <c r="L160" s="228"/>
    </row>
    <row r="161" spans="2:12" x14ac:dyDescent="0.25">
      <c r="B161" s="104"/>
      <c r="C161" s="217" t="s">
        <v>113</v>
      </c>
      <c r="D161" s="106">
        <v>1</v>
      </c>
      <c r="E161" s="106">
        <f>+E159*5</f>
        <v>90</v>
      </c>
      <c r="F161" s="106" t="s">
        <v>10</v>
      </c>
      <c r="G161" s="106" t="s">
        <v>14</v>
      </c>
      <c r="H161" s="106" t="s">
        <v>15</v>
      </c>
      <c r="I161" s="106" t="s">
        <v>15</v>
      </c>
      <c r="J161" s="186">
        <f>+D161/E161/D161</f>
        <v>1.1111111111111112E-2</v>
      </c>
      <c r="K161" s="102">
        <f>+'Mat y mano obra'!D10</f>
        <v>9500</v>
      </c>
      <c r="L161" s="228">
        <f>+K161*J161</f>
        <v>105.55555555555556</v>
      </c>
    </row>
    <row r="162" spans="2:12" x14ac:dyDescent="0.25">
      <c r="B162" s="109"/>
      <c r="C162" s="215" t="s">
        <v>138</v>
      </c>
      <c r="D162" s="106">
        <v>1</v>
      </c>
      <c r="E162" s="106">
        <f>+E159</f>
        <v>18</v>
      </c>
      <c r="F162" s="106" t="s">
        <v>10</v>
      </c>
      <c r="G162" s="106" t="s">
        <v>14</v>
      </c>
      <c r="H162" s="106" t="s">
        <v>15</v>
      </c>
      <c r="I162" s="106" t="s">
        <v>15</v>
      </c>
      <c r="J162" s="186">
        <f>+D162/E162/D162</f>
        <v>5.5555555555555552E-2</v>
      </c>
      <c r="K162" s="102">
        <f>+K156</f>
        <v>10187</v>
      </c>
      <c r="L162" s="228">
        <f>+K162*J162</f>
        <v>565.94444444444446</v>
      </c>
    </row>
    <row r="163" spans="2:12" ht="15.75" thickBot="1" x14ac:dyDescent="0.3">
      <c r="B163" s="109"/>
      <c r="C163" s="215" t="s">
        <v>110</v>
      </c>
      <c r="D163" s="106"/>
      <c r="E163" s="106"/>
      <c r="F163" s="106"/>
      <c r="G163" s="106"/>
      <c r="H163" s="106" t="s">
        <v>26</v>
      </c>
      <c r="I163" s="106"/>
      <c r="J163" s="219">
        <v>10</v>
      </c>
      <c r="K163" s="65" t="s">
        <v>27</v>
      </c>
      <c r="L163" s="228">
        <f>+L162*J163%</f>
        <v>56.594444444444449</v>
      </c>
    </row>
    <row r="164" spans="2:12" x14ac:dyDescent="0.25">
      <c r="B164" s="212"/>
      <c r="C164" s="216" t="s">
        <v>116</v>
      </c>
      <c r="D164" s="221">
        <f>1/3</f>
        <v>0.33333333333333331</v>
      </c>
      <c r="E164" s="106">
        <f>+E162/D164</f>
        <v>54</v>
      </c>
      <c r="F164" s="106" t="s">
        <v>10</v>
      </c>
      <c r="G164" s="106" t="s">
        <v>14</v>
      </c>
      <c r="H164" s="106" t="s">
        <v>15</v>
      </c>
      <c r="I164" s="106" t="s">
        <v>15</v>
      </c>
      <c r="J164" s="186">
        <f>+D164/E164/D164</f>
        <v>1.8518518518518517E-2</v>
      </c>
      <c r="K164" s="102">
        <f>+'Mat y mano obra'!D4</f>
        <v>21535</v>
      </c>
      <c r="L164" s="228">
        <f>+K164*J164</f>
        <v>398.79629629629625</v>
      </c>
    </row>
    <row r="165" spans="2:12" ht="15.75" thickBot="1" x14ac:dyDescent="0.3">
      <c r="B165" s="70"/>
      <c r="C165" s="218" t="s">
        <v>49</v>
      </c>
      <c r="D165" s="64"/>
      <c r="E165" s="64"/>
      <c r="F165" s="64"/>
      <c r="G165" s="64"/>
      <c r="H165" s="64" t="s">
        <v>26</v>
      </c>
      <c r="I165" s="64"/>
      <c r="J165" s="220">
        <v>57</v>
      </c>
      <c r="K165" s="213"/>
      <c r="L165" s="229">
        <f>+(L164+L162+L156)*J165%</f>
        <v>1130.5612222222221</v>
      </c>
    </row>
    <row r="168" spans="2:12" ht="15.75" thickBot="1" x14ac:dyDescent="0.3"/>
    <row r="169" spans="2:12" ht="15.75" thickBot="1" x14ac:dyDescent="0.3">
      <c r="B169" s="66" t="s">
        <v>0</v>
      </c>
      <c r="C169" s="144" t="s">
        <v>1</v>
      </c>
      <c r="D169" s="632"/>
      <c r="E169" s="633"/>
      <c r="F169" s="633"/>
      <c r="G169" s="633"/>
      <c r="H169" s="634"/>
      <c r="I169" s="145" t="s">
        <v>5</v>
      </c>
      <c r="J169" s="67" t="s">
        <v>6</v>
      </c>
      <c r="K169" s="67" t="s">
        <v>7</v>
      </c>
      <c r="L169" s="140" t="s">
        <v>8</v>
      </c>
    </row>
    <row r="170" spans="2:12" ht="15.75" x14ac:dyDescent="0.25">
      <c r="B170" s="241"/>
      <c r="C170" s="606" t="s">
        <v>165</v>
      </c>
      <c r="D170" s="635" t="s">
        <v>2</v>
      </c>
      <c r="E170" s="637" t="s">
        <v>3</v>
      </c>
      <c r="F170" s="639" t="s">
        <v>4</v>
      </c>
      <c r="G170" s="640"/>
      <c r="H170" s="641"/>
      <c r="I170" s="624" t="s">
        <v>10</v>
      </c>
      <c r="J170" s="626">
        <v>1</v>
      </c>
      <c r="K170" s="628"/>
      <c r="L170" s="630">
        <f>+SUM(L172:L178)</f>
        <v>8630.7344117647044</v>
      </c>
    </row>
    <row r="171" spans="2:12" ht="15.75" x14ac:dyDescent="0.25">
      <c r="B171" s="242"/>
      <c r="C171" s="607"/>
      <c r="D171" s="636"/>
      <c r="E171" s="638"/>
      <c r="F171" s="642"/>
      <c r="G171" s="643"/>
      <c r="H171" s="644"/>
      <c r="I171" s="625"/>
      <c r="J171" s="627"/>
      <c r="K171" s="629"/>
      <c r="L171" s="631">
        <v>15685.891</v>
      </c>
    </row>
    <row r="172" spans="2:12" ht="15.75" x14ac:dyDescent="0.25">
      <c r="B172" s="242"/>
      <c r="C172" s="150" t="s">
        <v>150</v>
      </c>
      <c r="D172" s="233">
        <v>1</v>
      </c>
      <c r="E172" s="235">
        <v>19</v>
      </c>
      <c r="F172" s="235" t="s">
        <v>10</v>
      </c>
      <c r="G172" s="204" t="s">
        <v>14</v>
      </c>
      <c r="H172" s="236" t="s">
        <v>105</v>
      </c>
      <c r="I172" s="252" t="s">
        <v>105</v>
      </c>
      <c r="J172" s="186">
        <f>+D172/E172/D172</f>
        <v>5.2631578947368418E-2</v>
      </c>
      <c r="K172" s="226">
        <f>+'Mat y mano obra'!D16</f>
        <v>160000</v>
      </c>
      <c r="L172" s="102">
        <f>+K172*J172</f>
        <v>8421.0526315789466</v>
      </c>
    </row>
    <row r="173" spans="2:12" ht="15.75" x14ac:dyDescent="0.25">
      <c r="B173" s="242"/>
      <c r="C173" s="150" t="s">
        <v>151</v>
      </c>
      <c r="D173" s="233"/>
      <c r="E173" s="235"/>
      <c r="F173" s="235"/>
      <c r="G173" s="204"/>
      <c r="H173" s="236"/>
      <c r="I173" s="252"/>
      <c r="J173" s="186"/>
      <c r="K173" s="102"/>
      <c r="L173" s="102"/>
    </row>
    <row r="174" spans="2:12" ht="15.75" x14ac:dyDescent="0.25">
      <c r="B174" s="242"/>
      <c r="C174" s="150" t="s">
        <v>152</v>
      </c>
      <c r="D174" s="233">
        <v>0.5</v>
      </c>
      <c r="E174" s="235">
        <f>+E172*8.5/D174</f>
        <v>323</v>
      </c>
      <c r="F174" s="235" t="s">
        <v>10</v>
      </c>
      <c r="G174" s="204" t="s">
        <v>14</v>
      </c>
      <c r="H174" s="236" t="s">
        <v>15</v>
      </c>
      <c r="I174" s="252" t="s">
        <v>15</v>
      </c>
      <c r="J174" s="186">
        <f>+D174/E174/D174</f>
        <v>3.0959752321981426E-3</v>
      </c>
      <c r="K174" s="102">
        <f>+'Mat y mano obra'!D8</f>
        <v>10187</v>
      </c>
      <c r="L174" s="102">
        <f>+K174*J174</f>
        <v>31.538699690402478</v>
      </c>
    </row>
    <row r="175" spans="2:12" ht="15.75" x14ac:dyDescent="0.25">
      <c r="B175" s="242"/>
      <c r="C175" s="150" t="s">
        <v>153</v>
      </c>
      <c r="D175" s="233"/>
      <c r="E175" s="235"/>
      <c r="F175" s="235"/>
      <c r="G175" s="204"/>
      <c r="H175" s="236"/>
      <c r="I175" s="252"/>
      <c r="J175" s="186"/>
      <c r="K175" s="102"/>
      <c r="L175" s="102"/>
    </row>
    <row r="176" spans="2:12" ht="15.75" x14ac:dyDescent="0.25">
      <c r="B176" s="242"/>
      <c r="C176" s="150" t="s">
        <v>147</v>
      </c>
      <c r="D176" s="233">
        <v>0.75</v>
      </c>
      <c r="E176" s="235">
        <f>+E174*D174/D176</f>
        <v>215.33333333333334</v>
      </c>
      <c r="F176" s="235" t="s">
        <v>10</v>
      </c>
      <c r="G176" s="204" t="s">
        <v>14</v>
      </c>
      <c r="H176" s="236" t="s">
        <v>15</v>
      </c>
      <c r="I176" s="252" t="s">
        <v>15</v>
      </c>
      <c r="J176" s="186">
        <f>+D176/E176/D176</f>
        <v>4.6439628482972135E-3</v>
      </c>
      <c r="K176" s="102">
        <f>+'Mat y mano obra'!D4</f>
        <v>21535</v>
      </c>
      <c r="L176" s="102">
        <f>+K176*J176</f>
        <v>100.00773993808049</v>
      </c>
    </row>
    <row r="177" spans="2:12" ht="15.75" x14ac:dyDescent="0.25">
      <c r="B177" s="242"/>
      <c r="C177" s="253" t="s">
        <v>110</v>
      </c>
      <c r="D177" s="233"/>
      <c r="E177" s="235"/>
      <c r="F177" s="235"/>
      <c r="G177" s="204"/>
      <c r="H177" s="236"/>
      <c r="I177" s="252" t="s">
        <v>26</v>
      </c>
      <c r="J177" s="106">
        <v>10</v>
      </c>
      <c r="K177" s="102"/>
      <c r="L177" s="102">
        <f>+L174*J177%</f>
        <v>3.1538699690402479</v>
      </c>
    </row>
    <row r="178" spans="2:12" ht="16.5" thickBot="1" x14ac:dyDescent="0.3">
      <c r="B178" s="243"/>
      <c r="C178" s="153" t="s">
        <v>49</v>
      </c>
      <c r="D178" s="237"/>
      <c r="E178" s="238"/>
      <c r="F178" s="238"/>
      <c r="G178" s="207"/>
      <c r="H178" s="239"/>
      <c r="I178" s="262" t="s">
        <v>26</v>
      </c>
      <c r="J178" s="106">
        <v>57</v>
      </c>
      <c r="K178" s="102"/>
      <c r="L178" s="102">
        <f>+(L176+L174)*J178%</f>
        <v>74.981470588235283</v>
      </c>
    </row>
  </sheetData>
  <mergeCells count="60">
    <mergeCell ref="F48:H48"/>
    <mergeCell ref="F73:H73"/>
    <mergeCell ref="F84:H85"/>
    <mergeCell ref="D62:H62"/>
    <mergeCell ref="F63:H63"/>
    <mergeCell ref="D72:H72"/>
    <mergeCell ref="D83:H83"/>
    <mergeCell ref="D47:H47"/>
    <mergeCell ref="F15:H15"/>
    <mergeCell ref="F4:H4"/>
    <mergeCell ref="F24:H24"/>
    <mergeCell ref="F33:H33"/>
    <mergeCell ref="C84:C85"/>
    <mergeCell ref="C96:C97"/>
    <mergeCell ref="C120:C121"/>
    <mergeCell ref="D96:D97"/>
    <mergeCell ref="E96:E97"/>
    <mergeCell ref="D120:D121"/>
    <mergeCell ref="E120:E121"/>
    <mergeCell ref="D84:D85"/>
    <mergeCell ref="E84:E85"/>
    <mergeCell ref="D95:H95"/>
    <mergeCell ref="D119:H119"/>
    <mergeCell ref="D107:H107"/>
    <mergeCell ref="C108:C109"/>
    <mergeCell ref="D108:D109"/>
    <mergeCell ref="E108:E109"/>
    <mergeCell ref="F108:H109"/>
    <mergeCell ref="J84:J85"/>
    <mergeCell ref="K84:K85"/>
    <mergeCell ref="L84:L85"/>
    <mergeCell ref="L96:L97"/>
    <mergeCell ref="L120:L121"/>
    <mergeCell ref="L108:L109"/>
    <mergeCell ref="J108:J109"/>
    <mergeCell ref="J120:J121"/>
    <mergeCell ref="K120:K121"/>
    <mergeCell ref="J96:J97"/>
    <mergeCell ref="K96:K97"/>
    <mergeCell ref="K108:K109"/>
    <mergeCell ref="D137:H137"/>
    <mergeCell ref="F138:H138"/>
    <mergeCell ref="D146:H146"/>
    <mergeCell ref="F147:H147"/>
    <mergeCell ref="I84:I85"/>
    <mergeCell ref="F96:H97"/>
    <mergeCell ref="F120:H121"/>
    <mergeCell ref="I108:I109"/>
    <mergeCell ref="I120:I121"/>
    <mergeCell ref="I96:I97"/>
    <mergeCell ref="C170:C171"/>
    <mergeCell ref="D170:D171"/>
    <mergeCell ref="E170:E171"/>
    <mergeCell ref="F170:H171"/>
    <mergeCell ref="F154:H154"/>
    <mergeCell ref="I170:I171"/>
    <mergeCell ref="J170:J171"/>
    <mergeCell ref="K170:K171"/>
    <mergeCell ref="L170:L171"/>
    <mergeCell ref="D169:H169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B1:M61"/>
  <sheetViews>
    <sheetView workbookViewId="0">
      <selection activeCell="P36" sqref="P36"/>
    </sheetView>
  </sheetViews>
  <sheetFormatPr baseColWidth="10" defaultRowHeight="15" x14ac:dyDescent="0.25"/>
  <cols>
    <col min="2" max="2" width="7.140625" customWidth="1"/>
    <col min="3" max="3" width="37.42578125" bestFit="1" customWidth="1"/>
    <col min="4" max="4" width="5.42578125" bestFit="1" customWidth="1"/>
    <col min="5" max="5" width="5.710937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5.7109375" bestFit="1" customWidth="1"/>
    <col min="12" max="12" width="7.140625" bestFit="1" customWidth="1"/>
  </cols>
  <sheetData>
    <row r="1" spans="2:13" x14ac:dyDescent="0.25">
      <c r="C1" s="161" t="s">
        <v>126</v>
      </c>
    </row>
    <row r="2" spans="2:13" ht="15.75" thickBot="1" x14ac:dyDescent="0.3"/>
    <row r="3" spans="2:13" ht="15.75" thickBot="1" x14ac:dyDescent="0.3">
      <c r="B3" s="97" t="s">
        <v>0</v>
      </c>
      <c r="C3" s="98" t="s">
        <v>1</v>
      </c>
      <c r="D3" s="99" t="s">
        <v>2</v>
      </c>
      <c r="E3" s="100" t="s">
        <v>3</v>
      </c>
      <c r="F3" s="621" t="s">
        <v>4</v>
      </c>
      <c r="G3" s="622"/>
      <c r="H3" s="623"/>
      <c r="I3" s="98" t="s">
        <v>5</v>
      </c>
      <c r="J3" s="98" t="s">
        <v>6</v>
      </c>
      <c r="K3" s="98" t="s">
        <v>7</v>
      </c>
      <c r="L3" s="101" t="s">
        <v>8</v>
      </c>
    </row>
    <row r="4" spans="2:13" x14ac:dyDescent="0.25">
      <c r="B4" s="104"/>
      <c r="C4" s="105" t="s">
        <v>120</v>
      </c>
      <c r="D4" s="106"/>
      <c r="E4" s="106">
        <f>+rendimiento!D22</f>
        <v>33</v>
      </c>
      <c r="F4" s="106"/>
      <c r="G4" s="106"/>
      <c r="H4" s="106"/>
      <c r="I4" s="107" t="s">
        <v>79</v>
      </c>
      <c r="J4" s="107">
        <v>1</v>
      </c>
      <c r="K4" s="102"/>
      <c r="L4" s="108">
        <f>+L15+L31</f>
        <v>5605.7720199594314</v>
      </c>
    </row>
    <row r="5" spans="2:13" x14ac:dyDescent="0.25">
      <c r="B5" s="109"/>
      <c r="C5" s="105" t="s">
        <v>84</v>
      </c>
      <c r="D5" s="106"/>
      <c r="E5" s="106"/>
      <c r="F5" s="106"/>
      <c r="G5" s="106"/>
      <c r="H5" s="106"/>
      <c r="I5" s="106"/>
      <c r="J5" s="106"/>
      <c r="K5" s="102"/>
      <c r="L5" s="110"/>
    </row>
    <row r="6" spans="2:13" x14ac:dyDescent="0.25">
      <c r="B6" s="109"/>
      <c r="C6" s="138" t="s">
        <v>121</v>
      </c>
      <c r="D6" s="106"/>
      <c r="E6" s="106"/>
      <c r="F6" s="106"/>
      <c r="G6" s="106"/>
      <c r="H6" s="106"/>
      <c r="I6" s="106"/>
      <c r="J6" s="106"/>
      <c r="K6" s="102"/>
      <c r="L6" s="110"/>
    </row>
    <row r="7" spans="2:13" x14ac:dyDescent="0.25">
      <c r="B7" s="109"/>
      <c r="C7" s="111" t="s">
        <v>122</v>
      </c>
      <c r="D7" s="106"/>
      <c r="E7" s="106"/>
      <c r="F7" s="106"/>
      <c r="G7" s="106"/>
      <c r="H7" s="106"/>
      <c r="I7" s="106" t="s">
        <v>79</v>
      </c>
      <c r="J7" s="115">
        <v>0.27200000000000002</v>
      </c>
      <c r="K7" s="160">
        <f>+'Mat y mano obra'!C33+2.75*'APU DT-18'!C13+2.75*'APU DT-18'!C13</f>
        <v>10689</v>
      </c>
      <c r="L7" s="110">
        <f>+K7*J7</f>
        <v>2907.4080000000004</v>
      </c>
    </row>
    <row r="8" spans="2:13" x14ac:dyDescent="0.25">
      <c r="B8" s="109"/>
      <c r="C8" s="111" t="s">
        <v>85</v>
      </c>
      <c r="D8" s="106"/>
      <c r="E8" s="106"/>
      <c r="F8" s="106"/>
      <c r="G8" s="106"/>
      <c r="H8" s="106"/>
      <c r="I8" s="106" t="s">
        <v>86</v>
      </c>
      <c r="J8" s="115">
        <f>0.15*3</f>
        <v>0.44999999999999996</v>
      </c>
      <c r="K8" s="160">
        <f>+'Mat y mano obra'!C34</f>
        <v>1209</v>
      </c>
      <c r="L8" s="110">
        <f>+K8*J8</f>
        <v>544.04999999999995</v>
      </c>
      <c r="M8" t="s">
        <v>119</v>
      </c>
    </row>
    <row r="9" spans="2:13" x14ac:dyDescent="0.25">
      <c r="B9" s="109"/>
      <c r="C9" s="105" t="s">
        <v>87</v>
      </c>
      <c r="D9" s="106"/>
      <c r="E9" s="106">
        <f>+E4</f>
        <v>33</v>
      </c>
      <c r="F9" s="106" t="s">
        <v>79</v>
      </c>
      <c r="G9" s="106" t="s">
        <v>14</v>
      </c>
      <c r="H9" s="106" t="s">
        <v>15</v>
      </c>
      <c r="I9" s="106" t="s">
        <v>15</v>
      </c>
      <c r="J9" s="115">
        <v>3.0300000000000001E-2</v>
      </c>
      <c r="K9" s="102"/>
      <c r="L9" s="110"/>
    </row>
    <row r="10" spans="2:13" x14ac:dyDescent="0.25">
      <c r="B10" s="109"/>
      <c r="C10" s="111" t="s">
        <v>88</v>
      </c>
      <c r="D10" s="106">
        <v>1</v>
      </c>
      <c r="E10" s="106">
        <f>+E4</f>
        <v>33</v>
      </c>
      <c r="F10" s="106" t="s">
        <v>79</v>
      </c>
      <c r="G10" s="106"/>
      <c r="H10" s="106" t="s">
        <v>35</v>
      </c>
      <c r="I10" s="106" t="s">
        <v>35</v>
      </c>
      <c r="J10" s="115">
        <f>+D10/E10</f>
        <v>3.0303030303030304E-2</v>
      </c>
      <c r="K10" s="286">
        <f>+'Mat y mano obra'!C5</f>
        <v>14806</v>
      </c>
      <c r="L10" s="110">
        <f t="shared" ref="L10:L11" si="0">+K10*J10</f>
        <v>448.66666666666669</v>
      </c>
    </row>
    <row r="11" spans="2:13" x14ac:dyDescent="0.25">
      <c r="B11" s="109"/>
      <c r="C11" s="111" t="s">
        <v>89</v>
      </c>
      <c r="D11" s="106">
        <v>2</v>
      </c>
      <c r="E11" s="106">
        <f>+E4/D11</f>
        <v>16.5</v>
      </c>
      <c r="F11" s="106" t="s">
        <v>79</v>
      </c>
      <c r="G11" s="106"/>
      <c r="H11" s="106" t="s">
        <v>35</v>
      </c>
      <c r="I11" s="106" t="s">
        <v>35</v>
      </c>
      <c r="J11" s="115">
        <f>+D11/E11/D11</f>
        <v>6.0606060606060608E-2</v>
      </c>
      <c r="K11" s="286">
        <f>+'Mat y mano obra'!C7</f>
        <v>11846</v>
      </c>
      <c r="L11" s="110">
        <f t="shared" si="0"/>
        <v>717.93939393939399</v>
      </c>
    </row>
    <row r="12" spans="2:13" ht="15.75" thickBot="1" x14ac:dyDescent="0.3">
      <c r="B12" s="127"/>
      <c r="C12" s="155" t="s">
        <v>123</v>
      </c>
      <c r="D12" s="156"/>
      <c r="E12" s="156"/>
      <c r="F12" s="156"/>
      <c r="G12" s="156"/>
      <c r="H12" s="156"/>
      <c r="I12" s="156" t="s">
        <v>26</v>
      </c>
      <c r="J12" s="64">
        <v>10</v>
      </c>
      <c r="K12" s="157" t="s">
        <v>27</v>
      </c>
      <c r="L12" s="158">
        <f>+(L10+L11)*J12%</f>
        <v>116.66060606060609</v>
      </c>
    </row>
    <row r="13" spans="2:13" ht="15.75" thickBot="1" x14ac:dyDescent="0.3">
      <c r="B13" s="112"/>
      <c r="C13" s="113" t="s">
        <v>49</v>
      </c>
      <c r="D13" s="64"/>
      <c r="E13" s="64"/>
      <c r="F13" s="64"/>
      <c r="G13" s="64"/>
      <c r="H13" s="64"/>
      <c r="I13" s="64" t="s">
        <v>26</v>
      </c>
      <c r="J13" s="64">
        <v>57</v>
      </c>
      <c r="K13" s="65" t="s">
        <v>27</v>
      </c>
      <c r="L13" s="114">
        <f>+(L10+L11)*J13%</f>
        <v>664.96545454545458</v>
      </c>
    </row>
    <row r="14" spans="2:13" x14ac:dyDescent="0.25">
      <c r="B14" s="116" t="s">
        <v>90</v>
      </c>
      <c r="C14" s="117"/>
      <c r="D14" s="117"/>
      <c r="E14" s="117"/>
      <c r="F14" s="117"/>
      <c r="G14" s="117"/>
      <c r="H14" s="117"/>
      <c r="I14" s="117"/>
      <c r="J14" s="117"/>
      <c r="K14" s="118"/>
      <c r="L14" s="103">
        <f>+SUM(L7:L13)</f>
        <v>5399.6901212121211</v>
      </c>
    </row>
    <row r="15" spans="2:13" ht="15.75" thickBot="1" x14ac:dyDescent="0.3">
      <c r="B15" s="119" t="s">
        <v>91</v>
      </c>
      <c r="C15" s="120"/>
      <c r="D15" s="120"/>
      <c r="E15" s="120"/>
      <c r="F15" s="120"/>
      <c r="G15" s="120"/>
      <c r="H15" s="120"/>
      <c r="I15" s="120"/>
      <c r="J15" s="120"/>
      <c r="K15" s="121"/>
      <c r="L15" s="122">
        <f>+L14/3</f>
        <v>1799.896707070707</v>
      </c>
    </row>
    <row r="16" spans="2:13" x14ac:dyDescent="0.25">
      <c r="B16" s="123"/>
      <c r="C16" s="159" t="s">
        <v>92</v>
      </c>
      <c r="D16" s="124"/>
      <c r="E16" s="124"/>
      <c r="F16" s="124"/>
      <c r="G16" s="124"/>
      <c r="H16" s="124"/>
      <c r="I16" s="124"/>
      <c r="J16" s="124"/>
      <c r="K16" s="125"/>
      <c r="L16" s="126"/>
    </row>
    <row r="17" spans="2:12" x14ac:dyDescent="0.25">
      <c r="B17" s="109"/>
      <c r="C17" s="111" t="s">
        <v>93</v>
      </c>
      <c r="D17" s="106">
        <v>1</v>
      </c>
      <c r="E17" s="106">
        <f>+E4</f>
        <v>33</v>
      </c>
      <c r="F17" s="106" t="s">
        <v>79</v>
      </c>
      <c r="G17" s="106" t="s">
        <v>14</v>
      </c>
      <c r="H17" s="106" t="s">
        <v>15</v>
      </c>
      <c r="I17" s="106" t="s">
        <v>15</v>
      </c>
      <c r="J17" s="106">
        <v>3.0300000000000001E-2</v>
      </c>
      <c r="K17" s="286">
        <f>+'Mat y mano obra'!C8</f>
        <v>10187</v>
      </c>
      <c r="L17" s="110">
        <f>+K17*J17</f>
        <v>308.66610000000003</v>
      </c>
    </row>
    <row r="18" spans="2:12" x14ac:dyDescent="0.25">
      <c r="B18" s="109"/>
      <c r="C18" s="138" t="s">
        <v>94</v>
      </c>
      <c r="D18" s="106"/>
      <c r="E18" s="106"/>
      <c r="F18" s="106"/>
      <c r="G18" s="106"/>
      <c r="H18" s="106"/>
      <c r="I18" s="106"/>
      <c r="J18" s="106"/>
      <c r="K18" s="102"/>
      <c r="L18" s="110"/>
    </row>
    <row r="19" spans="2:12" x14ac:dyDescent="0.25">
      <c r="B19" s="109"/>
      <c r="C19" s="111" t="s">
        <v>95</v>
      </c>
      <c r="D19" s="106"/>
      <c r="E19" s="106"/>
      <c r="F19" s="106"/>
      <c r="G19" s="106"/>
      <c r="H19" s="106"/>
      <c r="I19" s="106" t="s">
        <v>44</v>
      </c>
      <c r="J19" s="106">
        <v>0.1</v>
      </c>
      <c r="K19" s="160">
        <f>+'Mat y mano obra'!C35</f>
        <v>872</v>
      </c>
      <c r="L19" s="110">
        <f t="shared" ref="L19:L29" si="1">+K19*J19</f>
        <v>87.2</v>
      </c>
    </row>
    <row r="20" spans="2:12" x14ac:dyDescent="0.25">
      <c r="B20" s="109"/>
      <c r="C20" s="111" t="s">
        <v>96</v>
      </c>
      <c r="D20" s="106"/>
      <c r="E20" s="106"/>
      <c r="F20" s="106"/>
      <c r="G20" s="106"/>
      <c r="H20" s="106"/>
      <c r="I20" s="106" t="s">
        <v>44</v>
      </c>
      <c r="J20" s="106">
        <v>0.2</v>
      </c>
      <c r="K20" s="160">
        <f>+'Mat y mano obra'!C36</f>
        <v>882</v>
      </c>
      <c r="L20" s="110">
        <f t="shared" si="1"/>
        <v>176.4</v>
      </c>
    </row>
    <row r="21" spans="2:12" x14ac:dyDescent="0.25">
      <c r="B21" s="109"/>
      <c r="C21" s="111" t="s">
        <v>97</v>
      </c>
      <c r="D21" s="106"/>
      <c r="E21" s="106"/>
      <c r="F21" s="106"/>
      <c r="G21" s="106"/>
      <c r="H21" s="106"/>
      <c r="I21" s="106" t="s">
        <v>98</v>
      </c>
      <c r="J21" s="106">
        <v>6</v>
      </c>
      <c r="K21" s="102">
        <f>+'Mat y mano obra'!C37</f>
        <v>25</v>
      </c>
      <c r="L21" s="110">
        <f t="shared" si="1"/>
        <v>150</v>
      </c>
    </row>
    <row r="22" spans="2:12" x14ac:dyDescent="0.25">
      <c r="B22" s="109"/>
      <c r="C22" s="105" t="s">
        <v>29</v>
      </c>
      <c r="D22" s="106"/>
      <c r="E22" s="106">
        <f>+E17/2.5</f>
        <v>13.2</v>
      </c>
      <c r="F22" s="106" t="s">
        <v>79</v>
      </c>
      <c r="G22" s="106" t="s">
        <v>14</v>
      </c>
      <c r="H22" s="106" t="s">
        <v>15</v>
      </c>
      <c r="I22" s="106" t="s">
        <v>15</v>
      </c>
      <c r="J22" s="106">
        <v>7.6899999999999996E-2</v>
      </c>
      <c r="K22" s="102"/>
      <c r="L22" s="110">
        <f t="shared" si="1"/>
        <v>0</v>
      </c>
    </row>
    <row r="23" spans="2:12" x14ac:dyDescent="0.25">
      <c r="B23" s="109"/>
      <c r="C23" s="111" t="s">
        <v>88</v>
      </c>
      <c r="D23" s="106">
        <v>1</v>
      </c>
      <c r="E23" s="106">
        <f>+E22</f>
        <v>13.2</v>
      </c>
      <c r="F23" s="106" t="s">
        <v>79</v>
      </c>
      <c r="G23" s="106" t="s">
        <v>14</v>
      </c>
      <c r="H23" s="106" t="s">
        <v>35</v>
      </c>
      <c r="I23" s="106" t="s">
        <v>35</v>
      </c>
      <c r="J23" s="106">
        <f>+D23/E23/D23</f>
        <v>7.575757575757576E-2</v>
      </c>
      <c r="K23" s="286">
        <f>+'Mat y mano obra'!C5</f>
        <v>14806</v>
      </c>
      <c r="L23" s="110">
        <f t="shared" si="1"/>
        <v>1121.6666666666667</v>
      </c>
    </row>
    <row r="24" spans="2:12" x14ac:dyDescent="0.25">
      <c r="B24" s="109"/>
      <c r="C24" s="111" t="s">
        <v>89</v>
      </c>
      <c r="D24" s="106">
        <v>2</v>
      </c>
      <c r="E24" s="106">
        <f>+E23/D24</f>
        <v>6.6</v>
      </c>
      <c r="F24" s="106" t="s">
        <v>79</v>
      </c>
      <c r="G24" s="106" t="s">
        <v>14</v>
      </c>
      <c r="H24" s="106" t="s">
        <v>35</v>
      </c>
      <c r="I24" s="106" t="s">
        <v>35</v>
      </c>
      <c r="J24" s="106">
        <f>+D24/E24/D24</f>
        <v>0.15151515151515152</v>
      </c>
      <c r="K24" s="286">
        <f>+'Mat y mano obra'!C7</f>
        <v>11846</v>
      </c>
      <c r="L24" s="110">
        <f t="shared" si="1"/>
        <v>1794.848484848485</v>
      </c>
    </row>
    <row r="25" spans="2:12" x14ac:dyDescent="0.25">
      <c r="B25" s="109"/>
      <c r="C25" s="138" t="s">
        <v>99</v>
      </c>
      <c r="D25" s="106"/>
      <c r="E25" s="106"/>
      <c r="F25" s="106"/>
      <c r="G25" s="106"/>
      <c r="H25" s="106"/>
      <c r="I25" s="106"/>
      <c r="J25" s="106"/>
      <c r="K25" s="286"/>
      <c r="L25" s="110">
        <f t="shared" si="1"/>
        <v>0</v>
      </c>
    </row>
    <row r="26" spans="2:12" x14ac:dyDescent="0.25">
      <c r="B26" s="109"/>
      <c r="C26" s="111" t="s">
        <v>100</v>
      </c>
      <c r="D26" s="106"/>
      <c r="E26" s="106"/>
      <c r="F26" s="106"/>
      <c r="G26" s="106"/>
      <c r="H26" s="106"/>
      <c r="I26" s="106" t="s">
        <v>44</v>
      </c>
      <c r="J26" s="106">
        <v>1.4E-2</v>
      </c>
      <c r="K26" s="286">
        <f>+'Mat y mano obra'!C38</f>
        <v>2000</v>
      </c>
      <c r="L26" s="110">
        <f t="shared" si="1"/>
        <v>28</v>
      </c>
    </row>
    <row r="27" spans="2:12" x14ac:dyDescent="0.25">
      <c r="B27" s="109"/>
      <c r="C27" s="111" t="s">
        <v>93</v>
      </c>
      <c r="D27" s="106">
        <v>1</v>
      </c>
      <c r="E27" s="106">
        <f>+E17*3.3</f>
        <v>108.89999999999999</v>
      </c>
      <c r="F27" s="106" t="s">
        <v>79</v>
      </c>
      <c r="G27" s="106" t="s">
        <v>14</v>
      </c>
      <c r="H27" s="106" t="s">
        <v>15</v>
      </c>
      <c r="I27" s="106" t="s">
        <v>15</v>
      </c>
      <c r="J27" s="106">
        <f>+D27/E27/D27</f>
        <v>9.1827364554637296E-3</v>
      </c>
      <c r="K27" s="286">
        <f>+'Mat y mano obra'!C8</f>
        <v>10187</v>
      </c>
      <c r="L27" s="110">
        <f t="shared" si="1"/>
        <v>93.544536271809008</v>
      </c>
    </row>
    <row r="28" spans="2:12" x14ac:dyDescent="0.25">
      <c r="B28" s="109"/>
      <c r="C28" s="155" t="s">
        <v>123</v>
      </c>
      <c r="D28" s="156"/>
      <c r="E28" s="156"/>
      <c r="F28" s="156"/>
      <c r="G28" s="156"/>
      <c r="H28" s="156"/>
      <c r="I28" s="156" t="s">
        <v>26</v>
      </c>
      <c r="J28" s="106">
        <v>10</v>
      </c>
      <c r="K28" s="291"/>
      <c r="L28" s="158">
        <f t="shared" si="1"/>
        <v>0</v>
      </c>
    </row>
    <row r="29" spans="2:12" x14ac:dyDescent="0.25">
      <c r="B29" s="109"/>
      <c r="C29" s="111" t="s">
        <v>37</v>
      </c>
      <c r="D29" s="106">
        <v>1</v>
      </c>
      <c r="E29" s="106">
        <f>+E17*13.4</f>
        <v>442.2</v>
      </c>
      <c r="F29" s="106" t="s">
        <v>79</v>
      </c>
      <c r="G29" s="106" t="s">
        <v>14</v>
      </c>
      <c r="H29" s="106" t="s">
        <v>15</v>
      </c>
      <c r="I29" s="106" t="s">
        <v>15</v>
      </c>
      <c r="J29" s="106">
        <f>+D29/E29/D29</f>
        <v>2.2614201718679332E-3</v>
      </c>
      <c r="K29" s="286">
        <f>+'Mat y mano obra'!C4</f>
        <v>20142</v>
      </c>
      <c r="L29" s="110">
        <f t="shared" si="1"/>
        <v>45.549525101763912</v>
      </c>
    </row>
    <row r="30" spans="2:12" x14ac:dyDescent="0.25">
      <c r="B30" s="109"/>
      <c r="C30" s="111" t="s">
        <v>49</v>
      </c>
      <c r="D30" s="106"/>
      <c r="E30" s="106"/>
      <c r="F30" s="106"/>
      <c r="G30" s="106"/>
      <c r="H30" s="106"/>
      <c r="I30" s="106" t="s">
        <v>26</v>
      </c>
      <c r="J30" s="106">
        <v>57</v>
      </c>
      <c r="K30" s="102" t="s">
        <v>27</v>
      </c>
      <c r="L30" s="110"/>
    </row>
    <row r="31" spans="2:12" ht="15.75" thickBot="1" x14ac:dyDescent="0.3">
      <c r="B31" s="119" t="s">
        <v>101</v>
      </c>
      <c r="C31" s="120"/>
      <c r="D31" s="120"/>
      <c r="E31" s="120"/>
      <c r="F31" s="120"/>
      <c r="G31" s="120"/>
      <c r="H31" s="120"/>
      <c r="I31" s="120"/>
      <c r="J31" s="120"/>
      <c r="K31" s="121"/>
      <c r="L31" s="73">
        <f>+SUM(L17:L30)</f>
        <v>3805.8753128887247</v>
      </c>
    </row>
    <row r="33" spans="2:12" ht="15.75" thickBot="1" x14ac:dyDescent="0.3"/>
    <row r="34" spans="2:12" ht="15.75" thickBot="1" x14ac:dyDescent="0.3">
      <c r="B34" s="97" t="s">
        <v>0</v>
      </c>
      <c r="C34" s="98" t="s">
        <v>1</v>
      </c>
      <c r="D34" s="99" t="s">
        <v>2</v>
      </c>
      <c r="E34" s="100" t="s">
        <v>3</v>
      </c>
      <c r="F34" s="621" t="s">
        <v>4</v>
      </c>
      <c r="G34" s="622"/>
      <c r="H34" s="623"/>
      <c r="I34" s="98" t="s">
        <v>5</v>
      </c>
      <c r="J34" s="98" t="s">
        <v>6</v>
      </c>
      <c r="K34" s="98" t="s">
        <v>7</v>
      </c>
      <c r="L34" s="101" t="s">
        <v>8</v>
      </c>
    </row>
    <row r="35" spans="2:12" x14ac:dyDescent="0.25">
      <c r="B35" s="104"/>
      <c r="C35" s="105" t="s">
        <v>124</v>
      </c>
      <c r="D35" s="106"/>
      <c r="E35" s="106">
        <f>+rendimiento!D23</f>
        <v>33</v>
      </c>
      <c r="F35" s="106"/>
      <c r="G35" s="106"/>
      <c r="H35" s="106"/>
      <c r="I35" s="107" t="s">
        <v>79</v>
      </c>
      <c r="J35" s="107">
        <v>1</v>
      </c>
      <c r="K35" s="102"/>
      <c r="L35" s="108">
        <f>+L45+L61</f>
        <v>8842.8654341008478</v>
      </c>
    </row>
    <row r="36" spans="2:12" x14ac:dyDescent="0.25">
      <c r="B36" s="109"/>
      <c r="C36" s="105" t="s">
        <v>84</v>
      </c>
      <c r="D36" s="106"/>
      <c r="E36" s="106"/>
      <c r="F36" s="106"/>
      <c r="G36" s="106"/>
      <c r="H36" s="106"/>
      <c r="I36" s="106"/>
      <c r="J36" s="106"/>
      <c r="K36" s="102"/>
      <c r="L36" s="110"/>
    </row>
    <row r="37" spans="2:12" x14ac:dyDescent="0.25">
      <c r="B37" s="109"/>
      <c r="C37" s="138" t="s">
        <v>125</v>
      </c>
      <c r="D37" s="106"/>
      <c r="E37" s="106"/>
      <c r="F37" s="106"/>
      <c r="G37" s="106"/>
      <c r="H37" s="106"/>
      <c r="I37" s="106"/>
      <c r="J37" s="106"/>
      <c r="K37" s="102"/>
      <c r="L37" s="110"/>
    </row>
    <row r="38" spans="2:12" x14ac:dyDescent="0.25">
      <c r="B38" s="109"/>
      <c r="C38" s="111" t="s">
        <v>122</v>
      </c>
      <c r="D38" s="106"/>
      <c r="E38" s="106"/>
      <c r="F38" s="106"/>
      <c r="G38" s="106"/>
      <c r="H38" s="106"/>
      <c r="I38" s="106" t="s">
        <v>79</v>
      </c>
      <c r="J38" s="115">
        <v>0.27200000000000002</v>
      </c>
      <c r="K38" s="160">
        <f>+'Mat y mano obra'!C33+2.75*'APU DT-18'!C13+2.75*'APU DT-18'!C13</f>
        <v>10689</v>
      </c>
      <c r="L38" s="110">
        <f>+K38*J38</f>
        <v>2907.4080000000004</v>
      </c>
    </row>
    <row r="39" spans="2:12" x14ac:dyDescent="0.25">
      <c r="B39" s="109"/>
      <c r="C39" s="111" t="s">
        <v>85</v>
      </c>
      <c r="D39" s="106"/>
      <c r="E39" s="106"/>
      <c r="F39" s="106"/>
      <c r="G39" s="106"/>
      <c r="H39" s="106"/>
      <c r="I39" s="106" t="s">
        <v>86</v>
      </c>
      <c r="J39" s="115">
        <f>0.15</f>
        <v>0.15</v>
      </c>
      <c r="K39" s="160">
        <f>+'Mat y mano obra'!C34</f>
        <v>1209</v>
      </c>
      <c r="L39" s="110">
        <f>+K39*J39</f>
        <v>181.35</v>
      </c>
    </row>
    <row r="40" spans="2:12" x14ac:dyDescent="0.25">
      <c r="B40" s="109"/>
      <c r="C40" s="105" t="s">
        <v>87</v>
      </c>
      <c r="D40" s="106"/>
      <c r="E40" s="106">
        <f>+E35</f>
        <v>33</v>
      </c>
      <c r="F40" s="106" t="s">
        <v>79</v>
      </c>
      <c r="G40" s="106" t="s">
        <v>14</v>
      </c>
      <c r="H40" s="106" t="s">
        <v>15</v>
      </c>
      <c r="I40" s="106" t="s">
        <v>15</v>
      </c>
      <c r="J40" s="115">
        <v>3.0300000000000001E-2</v>
      </c>
      <c r="K40" s="102"/>
      <c r="L40" s="110"/>
    </row>
    <row r="41" spans="2:12" x14ac:dyDescent="0.25">
      <c r="B41" s="109"/>
      <c r="C41" s="111" t="s">
        <v>88</v>
      </c>
      <c r="D41" s="106">
        <v>1</v>
      </c>
      <c r="E41" s="106">
        <f>+E35</f>
        <v>33</v>
      </c>
      <c r="F41" s="106" t="s">
        <v>79</v>
      </c>
      <c r="G41" s="106"/>
      <c r="H41" s="106" t="s">
        <v>35</v>
      </c>
      <c r="I41" s="106" t="s">
        <v>35</v>
      </c>
      <c r="J41" s="115">
        <f>+D41/E41</f>
        <v>3.0303030303030304E-2</v>
      </c>
      <c r="K41" s="286">
        <f>+'Mat y mano obra'!C5</f>
        <v>14806</v>
      </c>
      <c r="L41" s="110">
        <f t="shared" ref="L41:L42" si="2">+K41*J41</f>
        <v>448.66666666666669</v>
      </c>
    </row>
    <row r="42" spans="2:12" x14ac:dyDescent="0.25">
      <c r="B42" s="109"/>
      <c r="C42" s="111" t="s">
        <v>89</v>
      </c>
      <c r="D42" s="106">
        <v>2</v>
      </c>
      <c r="E42" s="106">
        <f>+E35/D42</f>
        <v>16.5</v>
      </c>
      <c r="F42" s="106" t="s">
        <v>79</v>
      </c>
      <c r="G42" s="106"/>
      <c r="H42" s="106" t="s">
        <v>35</v>
      </c>
      <c r="I42" s="106" t="s">
        <v>35</v>
      </c>
      <c r="J42" s="115">
        <f>+D42/E42/D42</f>
        <v>6.0606060606060608E-2</v>
      </c>
      <c r="K42" s="286">
        <f>+'Mat y mano obra'!C7</f>
        <v>11846</v>
      </c>
      <c r="L42" s="110">
        <f t="shared" si="2"/>
        <v>717.93939393939399</v>
      </c>
    </row>
    <row r="43" spans="2:12" ht="15.75" thickBot="1" x14ac:dyDescent="0.3">
      <c r="B43" s="127"/>
      <c r="C43" s="155" t="s">
        <v>123</v>
      </c>
      <c r="D43" s="156"/>
      <c r="E43" s="156"/>
      <c r="F43" s="156"/>
      <c r="G43" s="156"/>
      <c r="H43" s="156"/>
      <c r="I43" s="156" t="s">
        <v>26</v>
      </c>
      <c r="J43" s="64">
        <v>10</v>
      </c>
      <c r="K43" s="157" t="s">
        <v>27</v>
      </c>
      <c r="L43" s="158">
        <f>+(L41+L42)*J43%</f>
        <v>116.66060606060609</v>
      </c>
    </row>
    <row r="44" spans="2:12" ht="15.75" thickBot="1" x14ac:dyDescent="0.3">
      <c r="B44" s="112"/>
      <c r="C44" s="113" t="s">
        <v>49</v>
      </c>
      <c r="D44" s="64"/>
      <c r="E44" s="64"/>
      <c r="F44" s="64"/>
      <c r="G44" s="64"/>
      <c r="H44" s="64"/>
      <c r="I44" s="64" t="s">
        <v>26</v>
      </c>
      <c r="J44" s="64">
        <v>57</v>
      </c>
      <c r="K44" s="65" t="s">
        <v>27</v>
      </c>
      <c r="L44" s="114">
        <f>+(L41+L42)*J44%</f>
        <v>664.96545454545458</v>
      </c>
    </row>
    <row r="45" spans="2:12" ht="15.75" thickBot="1" x14ac:dyDescent="0.3">
      <c r="B45" s="116" t="s">
        <v>90</v>
      </c>
      <c r="C45" s="117"/>
      <c r="D45" s="117"/>
      <c r="E45" s="117"/>
      <c r="F45" s="117"/>
      <c r="G45" s="117"/>
      <c r="H45" s="117"/>
      <c r="I45" s="117"/>
      <c r="J45" s="117"/>
      <c r="K45" s="118"/>
      <c r="L45" s="103">
        <f>+SUM(L38:L44)</f>
        <v>5036.9901212121222</v>
      </c>
    </row>
    <row r="46" spans="2:12" x14ac:dyDescent="0.25">
      <c r="B46" s="123"/>
      <c r="C46" s="159" t="s">
        <v>92</v>
      </c>
      <c r="D46" s="124"/>
      <c r="E46" s="124"/>
      <c r="F46" s="124"/>
      <c r="G46" s="124"/>
      <c r="H46" s="124"/>
      <c r="I46" s="124"/>
      <c r="J46" s="124"/>
      <c r="K46" s="125"/>
      <c r="L46" s="126"/>
    </row>
    <row r="47" spans="2:12" x14ac:dyDescent="0.25">
      <c r="B47" s="109"/>
      <c r="C47" s="111" t="s">
        <v>93</v>
      </c>
      <c r="D47" s="106">
        <v>1</v>
      </c>
      <c r="E47" s="106">
        <f>+E35</f>
        <v>33</v>
      </c>
      <c r="F47" s="106" t="s">
        <v>79</v>
      </c>
      <c r="G47" s="106" t="s">
        <v>14</v>
      </c>
      <c r="H47" s="106" t="s">
        <v>15</v>
      </c>
      <c r="I47" s="106" t="s">
        <v>15</v>
      </c>
      <c r="J47" s="106">
        <v>3.0300000000000001E-2</v>
      </c>
      <c r="K47" s="286">
        <f>+'Mat y mano obra'!C8</f>
        <v>10187</v>
      </c>
      <c r="L47" s="110">
        <f>+K47*J47</f>
        <v>308.66610000000003</v>
      </c>
    </row>
    <row r="48" spans="2:12" x14ac:dyDescent="0.25">
      <c r="B48" s="109"/>
      <c r="C48" s="138" t="s">
        <v>94</v>
      </c>
      <c r="D48" s="106"/>
      <c r="E48" s="106"/>
      <c r="F48" s="106"/>
      <c r="G48" s="106"/>
      <c r="H48" s="106"/>
      <c r="I48" s="106"/>
      <c r="J48" s="106"/>
      <c r="K48" s="102"/>
      <c r="L48" s="110"/>
    </row>
    <row r="49" spans="2:12" x14ac:dyDescent="0.25">
      <c r="B49" s="109"/>
      <c r="C49" s="111" t="s">
        <v>95</v>
      </c>
      <c r="D49" s="106"/>
      <c r="E49" s="106"/>
      <c r="F49" s="106"/>
      <c r="G49" s="106"/>
      <c r="H49" s="106"/>
      <c r="I49" s="106" t="s">
        <v>44</v>
      </c>
      <c r="J49" s="106">
        <v>0.1</v>
      </c>
      <c r="K49" s="160">
        <f>+'Mat y mano obra'!C35</f>
        <v>872</v>
      </c>
      <c r="L49" s="110">
        <f t="shared" ref="L49:L59" si="3">+K49*J49</f>
        <v>87.2</v>
      </c>
    </row>
    <row r="50" spans="2:12" x14ac:dyDescent="0.25">
      <c r="B50" s="109"/>
      <c r="C50" s="111" t="s">
        <v>96</v>
      </c>
      <c r="D50" s="106"/>
      <c r="E50" s="106"/>
      <c r="F50" s="106"/>
      <c r="G50" s="106"/>
      <c r="H50" s="106"/>
      <c r="I50" s="106" t="s">
        <v>44</v>
      </c>
      <c r="J50" s="106">
        <v>0.2</v>
      </c>
      <c r="K50" s="160">
        <f>+'Mat y mano obra'!C36</f>
        <v>882</v>
      </c>
      <c r="L50" s="110">
        <f t="shared" si="3"/>
        <v>176.4</v>
      </c>
    </row>
    <row r="51" spans="2:12" x14ac:dyDescent="0.25">
      <c r="B51" s="109"/>
      <c r="C51" s="111" t="s">
        <v>97</v>
      </c>
      <c r="D51" s="106"/>
      <c r="E51" s="106"/>
      <c r="F51" s="106"/>
      <c r="G51" s="106"/>
      <c r="H51" s="106"/>
      <c r="I51" s="106" t="s">
        <v>98</v>
      </c>
      <c r="J51" s="106">
        <v>6</v>
      </c>
      <c r="K51" s="102">
        <f>+'Mat y mano obra'!C37</f>
        <v>25</v>
      </c>
      <c r="L51" s="110">
        <f t="shared" si="3"/>
        <v>150</v>
      </c>
    </row>
    <row r="52" spans="2:12" x14ac:dyDescent="0.25">
      <c r="B52" s="109"/>
      <c r="C52" s="105" t="s">
        <v>29</v>
      </c>
      <c r="D52" s="106"/>
      <c r="E52" s="106">
        <f>+E47/2.5</f>
        <v>13.2</v>
      </c>
      <c r="F52" s="106" t="s">
        <v>79</v>
      </c>
      <c r="G52" s="106" t="s">
        <v>14</v>
      </c>
      <c r="H52" s="106" t="s">
        <v>15</v>
      </c>
      <c r="I52" s="106" t="s">
        <v>15</v>
      </c>
      <c r="J52" s="106">
        <v>7.6899999999999996E-2</v>
      </c>
      <c r="K52" s="102"/>
      <c r="L52" s="110">
        <f t="shared" si="3"/>
        <v>0</v>
      </c>
    </row>
    <row r="53" spans="2:12" x14ac:dyDescent="0.25">
      <c r="B53" s="109"/>
      <c r="C53" s="111" t="s">
        <v>88</v>
      </c>
      <c r="D53" s="106">
        <v>1</v>
      </c>
      <c r="E53" s="106">
        <f>+E52</f>
        <v>13.2</v>
      </c>
      <c r="F53" s="106" t="s">
        <v>79</v>
      </c>
      <c r="G53" s="106" t="s">
        <v>14</v>
      </c>
      <c r="H53" s="106" t="s">
        <v>35</v>
      </c>
      <c r="I53" s="106" t="s">
        <v>35</v>
      </c>
      <c r="J53" s="106">
        <f>+D53/E53/D53</f>
        <v>7.575757575757576E-2</v>
      </c>
      <c r="K53" s="286">
        <f>+'Mat y mano obra'!C5</f>
        <v>14806</v>
      </c>
      <c r="L53" s="110">
        <f t="shared" si="3"/>
        <v>1121.6666666666667</v>
      </c>
    </row>
    <row r="54" spans="2:12" x14ac:dyDescent="0.25">
      <c r="B54" s="109"/>
      <c r="C54" s="111" t="s">
        <v>89</v>
      </c>
      <c r="D54" s="106">
        <v>2</v>
      </c>
      <c r="E54" s="106">
        <f>+E53/D54</f>
        <v>6.6</v>
      </c>
      <c r="F54" s="106" t="s">
        <v>79</v>
      </c>
      <c r="G54" s="106" t="s">
        <v>14</v>
      </c>
      <c r="H54" s="106" t="s">
        <v>35</v>
      </c>
      <c r="I54" s="106" t="s">
        <v>35</v>
      </c>
      <c r="J54" s="106">
        <f>+D54/E54/D54</f>
        <v>0.15151515151515152</v>
      </c>
      <c r="K54" s="286">
        <f>+'Mat y mano obra'!C7</f>
        <v>11846</v>
      </c>
      <c r="L54" s="110">
        <f t="shared" si="3"/>
        <v>1794.848484848485</v>
      </c>
    </row>
    <row r="55" spans="2:12" x14ac:dyDescent="0.25">
      <c r="B55" s="109"/>
      <c r="C55" s="138" t="s">
        <v>99</v>
      </c>
      <c r="D55" s="106"/>
      <c r="E55" s="106"/>
      <c r="F55" s="106"/>
      <c r="G55" s="106"/>
      <c r="H55" s="106"/>
      <c r="I55" s="106"/>
      <c r="J55" s="106"/>
      <c r="K55" s="286"/>
      <c r="L55" s="110">
        <f t="shared" si="3"/>
        <v>0</v>
      </c>
    </row>
    <row r="56" spans="2:12" x14ac:dyDescent="0.25">
      <c r="B56" s="109"/>
      <c r="C56" s="111" t="s">
        <v>100</v>
      </c>
      <c r="D56" s="106"/>
      <c r="E56" s="106"/>
      <c r="F56" s="106"/>
      <c r="G56" s="106"/>
      <c r="H56" s="106"/>
      <c r="I56" s="106" t="s">
        <v>44</v>
      </c>
      <c r="J56" s="106">
        <v>1.4E-2</v>
      </c>
      <c r="K56" s="286">
        <f>+'Mat y mano obra'!C38</f>
        <v>2000</v>
      </c>
      <c r="L56" s="110">
        <f t="shared" si="3"/>
        <v>28</v>
      </c>
    </row>
    <row r="57" spans="2:12" x14ac:dyDescent="0.25">
      <c r="B57" s="109"/>
      <c r="C57" s="111" t="s">
        <v>93</v>
      </c>
      <c r="D57" s="106">
        <v>1</v>
      </c>
      <c r="E57" s="106">
        <f>+E47*3.3</f>
        <v>108.89999999999999</v>
      </c>
      <c r="F57" s="106" t="s">
        <v>79</v>
      </c>
      <c r="G57" s="106" t="s">
        <v>14</v>
      </c>
      <c r="H57" s="106" t="s">
        <v>15</v>
      </c>
      <c r="I57" s="106" t="s">
        <v>15</v>
      </c>
      <c r="J57" s="106">
        <f>+D57/E57/D57</f>
        <v>9.1827364554637296E-3</v>
      </c>
      <c r="K57" s="286">
        <f>+'Mat y mano obra'!C8</f>
        <v>10187</v>
      </c>
      <c r="L57" s="110">
        <f t="shared" si="3"/>
        <v>93.544536271809008</v>
      </c>
    </row>
    <row r="58" spans="2:12" x14ac:dyDescent="0.25">
      <c r="B58" s="109"/>
      <c r="C58" s="155" t="s">
        <v>123</v>
      </c>
      <c r="D58" s="156"/>
      <c r="E58" s="156"/>
      <c r="F58" s="156"/>
      <c r="G58" s="156"/>
      <c r="H58" s="156"/>
      <c r="I58" s="156" t="s">
        <v>26</v>
      </c>
      <c r="J58" s="106">
        <v>10</v>
      </c>
      <c r="K58" s="291"/>
      <c r="L58" s="158">
        <f t="shared" si="3"/>
        <v>0</v>
      </c>
    </row>
    <row r="59" spans="2:12" x14ac:dyDescent="0.25">
      <c r="B59" s="109"/>
      <c r="C59" s="111" t="s">
        <v>37</v>
      </c>
      <c r="D59" s="106">
        <v>1</v>
      </c>
      <c r="E59" s="106">
        <f>+E47*13.4</f>
        <v>442.2</v>
      </c>
      <c r="F59" s="106" t="s">
        <v>79</v>
      </c>
      <c r="G59" s="106" t="s">
        <v>14</v>
      </c>
      <c r="H59" s="106" t="s">
        <v>15</v>
      </c>
      <c r="I59" s="106" t="s">
        <v>15</v>
      </c>
      <c r="J59" s="106">
        <f>+D59/E59/D59</f>
        <v>2.2614201718679332E-3</v>
      </c>
      <c r="K59" s="286">
        <f>+'Mat y mano obra'!C4</f>
        <v>20142</v>
      </c>
      <c r="L59" s="110">
        <f t="shared" si="3"/>
        <v>45.549525101763912</v>
      </c>
    </row>
    <row r="60" spans="2:12" x14ac:dyDescent="0.25">
      <c r="B60" s="109">
        <v>1030</v>
      </c>
      <c r="C60" s="111" t="s">
        <v>49</v>
      </c>
      <c r="D60" s="106"/>
      <c r="E60" s="106"/>
      <c r="F60" s="106"/>
      <c r="G60" s="106"/>
      <c r="H60" s="106"/>
      <c r="I60" s="106" t="s">
        <v>26</v>
      </c>
      <c r="J60" s="106">
        <v>57</v>
      </c>
      <c r="K60" s="102" t="s">
        <v>27</v>
      </c>
      <c r="L60" s="110"/>
    </row>
    <row r="61" spans="2:12" ht="15.75" thickBot="1" x14ac:dyDescent="0.3">
      <c r="B61" s="119" t="s">
        <v>101</v>
      </c>
      <c r="C61" s="120"/>
      <c r="D61" s="120"/>
      <c r="E61" s="120"/>
      <c r="F61" s="120"/>
      <c r="G61" s="120"/>
      <c r="H61" s="120"/>
      <c r="I61" s="120"/>
      <c r="J61" s="120"/>
      <c r="K61" s="121"/>
      <c r="L61" s="73">
        <f>+SUM(L47:L60)</f>
        <v>3805.8753128887247</v>
      </c>
    </row>
  </sheetData>
  <mergeCells count="2">
    <mergeCell ref="F3:H3"/>
    <mergeCell ref="F34:H3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B1:M61"/>
  <sheetViews>
    <sheetView topLeftCell="A43" workbookViewId="0">
      <selection activeCell="K61" sqref="K61"/>
    </sheetView>
  </sheetViews>
  <sheetFormatPr baseColWidth="10" defaultRowHeight="15" x14ac:dyDescent="0.25"/>
  <cols>
    <col min="2" max="2" width="7.140625" customWidth="1"/>
    <col min="3" max="3" width="37.42578125" bestFit="1" customWidth="1"/>
    <col min="4" max="4" width="5.42578125" bestFit="1" customWidth="1"/>
    <col min="5" max="5" width="5.710937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5.7109375" bestFit="1" customWidth="1"/>
    <col min="12" max="12" width="7.140625" bestFit="1" customWidth="1"/>
  </cols>
  <sheetData>
    <row r="1" spans="2:13" x14ac:dyDescent="0.25">
      <c r="C1" s="161" t="s">
        <v>126</v>
      </c>
    </row>
    <row r="2" spans="2:13" ht="15.75" thickBot="1" x14ac:dyDescent="0.3"/>
    <row r="3" spans="2:13" ht="15.75" thickBot="1" x14ac:dyDescent="0.3">
      <c r="B3" s="97" t="s">
        <v>0</v>
      </c>
      <c r="C3" s="98" t="s">
        <v>1</v>
      </c>
      <c r="D3" s="99" t="s">
        <v>2</v>
      </c>
      <c r="E3" s="100" t="s">
        <v>3</v>
      </c>
      <c r="F3" s="621" t="s">
        <v>4</v>
      </c>
      <c r="G3" s="622"/>
      <c r="H3" s="623"/>
      <c r="I3" s="98" t="s">
        <v>5</v>
      </c>
      <c r="J3" s="98" t="s">
        <v>6</v>
      </c>
      <c r="K3" s="98" t="s">
        <v>7</v>
      </c>
      <c r="L3" s="101" t="s">
        <v>8</v>
      </c>
    </row>
    <row r="4" spans="2:13" x14ac:dyDescent="0.25">
      <c r="B4" s="104"/>
      <c r="C4" s="105" t="s">
        <v>120</v>
      </c>
      <c r="D4" s="106"/>
      <c r="E4" s="106">
        <f>+rendimiento!C22</f>
        <v>26</v>
      </c>
      <c r="F4" s="106"/>
      <c r="G4" s="106"/>
      <c r="H4" s="106"/>
      <c r="I4" s="107" t="s">
        <v>79</v>
      </c>
      <c r="J4" s="107">
        <v>1</v>
      </c>
      <c r="K4" s="102"/>
      <c r="L4" s="108">
        <f>+L15+L31</f>
        <v>7542.0469967644294</v>
      </c>
    </row>
    <row r="5" spans="2:13" x14ac:dyDescent="0.25">
      <c r="B5" s="109"/>
      <c r="C5" s="105" t="s">
        <v>84</v>
      </c>
      <c r="D5" s="106"/>
      <c r="E5" s="106"/>
      <c r="F5" s="106"/>
      <c r="G5" s="106"/>
      <c r="H5" s="106"/>
      <c r="I5" s="106"/>
      <c r="J5" s="106"/>
      <c r="K5" s="102"/>
      <c r="L5" s="110"/>
    </row>
    <row r="6" spans="2:13" x14ac:dyDescent="0.25">
      <c r="B6" s="109"/>
      <c r="C6" s="138" t="s">
        <v>121</v>
      </c>
      <c r="D6" s="106"/>
      <c r="E6" s="106"/>
      <c r="F6" s="106"/>
      <c r="G6" s="106"/>
      <c r="H6" s="106"/>
      <c r="I6" s="106"/>
      <c r="J6" s="106"/>
      <c r="K6" s="102"/>
      <c r="L6" s="110"/>
    </row>
    <row r="7" spans="2:13" x14ac:dyDescent="0.25">
      <c r="B7" s="109"/>
      <c r="C7" s="111" t="s">
        <v>122</v>
      </c>
      <c r="D7" s="106"/>
      <c r="E7" s="106"/>
      <c r="F7" s="106"/>
      <c r="G7" s="106"/>
      <c r="H7" s="106"/>
      <c r="I7" s="106" t="s">
        <v>79</v>
      </c>
      <c r="J7" s="115">
        <v>0.27200000000000002</v>
      </c>
      <c r="K7" s="160">
        <f>+'Mat y mano obra'!D33</f>
        <v>14764</v>
      </c>
      <c r="L7" s="110">
        <f>+K7*J7</f>
        <v>4015.8080000000004</v>
      </c>
    </row>
    <row r="8" spans="2:13" x14ac:dyDescent="0.25">
      <c r="B8" s="109"/>
      <c r="C8" s="111" t="s">
        <v>85</v>
      </c>
      <c r="D8" s="106"/>
      <c r="E8" s="106"/>
      <c r="F8" s="106"/>
      <c r="G8" s="106"/>
      <c r="H8" s="106"/>
      <c r="I8" s="106" t="s">
        <v>86</v>
      </c>
      <c r="J8" s="115">
        <f>0.15*3</f>
        <v>0.44999999999999996</v>
      </c>
      <c r="K8" s="160">
        <f>+'Mat y mano obra'!D34</f>
        <v>3102</v>
      </c>
      <c r="L8" s="110">
        <f>+K8*J8</f>
        <v>1395.8999999999999</v>
      </c>
      <c r="M8" t="s">
        <v>119</v>
      </c>
    </row>
    <row r="9" spans="2:13" x14ac:dyDescent="0.25">
      <c r="B9" s="109"/>
      <c r="C9" s="105" t="s">
        <v>87</v>
      </c>
      <c r="D9" s="106"/>
      <c r="E9" s="106">
        <f>+E4</f>
        <v>26</v>
      </c>
      <c r="F9" s="106" t="s">
        <v>79</v>
      </c>
      <c r="G9" s="106" t="s">
        <v>14</v>
      </c>
      <c r="H9" s="106" t="s">
        <v>15</v>
      </c>
      <c r="I9" s="106" t="s">
        <v>15</v>
      </c>
      <c r="J9" s="115">
        <v>3.0300000000000001E-2</v>
      </c>
      <c r="K9" s="102"/>
      <c r="L9" s="110"/>
    </row>
    <row r="10" spans="2:13" x14ac:dyDescent="0.25">
      <c r="B10" s="109"/>
      <c r="C10" s="111" t="s">
        <v>88</v>
      </c>
      <c r="D10" s="106">
        <v>1</v>
      </c>
      <c r="E10" s="106">
        <f>+E4</f>
        <v>26</v>
      </c>
      <c r="F10" s="106" t="s">
        <v>79</v>
      </c>
      <c r="G10" s="106"/>
      <c r="H10" s="106" t="s">
        <v>35</v>
      </c>
      <c r="I10" s="106" t="s">
        <v>35</v>
      </c>
      <c r="J10" s="115">
        <f>+D10/E10/D10</f>
        <v>3.8461538461538464E-2</v>
      </c>
      <c r="K10" s="286">
        <f>+'Mat y mano obra'!D5</f>
        <v>16492</v>
      </c>
      <c r="L10" s="110">
        <f t="shared" ref="L10:L11" si="0">+K10*J10</f>
        <v>634.30769230769238</v>
      </c>
    </row>
    <row r="11" spans="2:13" x14ac:dyDescent="0.25">
      <c r="B11" s="109"/>
      <c r="C11" s="111" t="s">
        <v>89</v>
      </c>
      <c r="D11" s="106">
        <v>2</v>
      </c>
      <c r="E11" s="106">
        <f>+E4/D11</f>
        <v>13</v>
      </c>
      <c r="F11" s="106" t="s">
        <v>79</v>
      </c>
      <c r="G11" s="106"/>
      <c r="H11" s="106" t="s">
        <v>35</v>
      </c>
      <c r="I11" s="106" t="s">
        <v>35</v>
      </c>
      <c r="J11" s="115">
        <f>+D11/E11/D11</f>
        <v>7.6923076923076927E-2</v>
      </c>
      <c r="K11" s="286">
        <f>+'Mat y mano obra'!D7</f>
        <v>11846</v>
      </c>
      <c r="L11" s="110">
        <f t="shared" si="0"/>
        <v>911.23076923076928</v>
      </c>
    </row>
    <row r="12" spans="2:13" ht="15.75" thickBot="1" x14ac:dyDescent="0.3">
      <c r="B12" s="127"/>
      <c r="C12" s="155" t="s">
        <v>123</v>
      </c>
      <c r="D12" s="156"/>
      <c r="E12" s="156"/>
      <c r="F12" s="156"/>
      <c r="G12" s="156"/>
      <c r="H12" s="156"/>
      <c r="I12" s="156" t="s">
        <v>26</v>
      </c>
      <c r="J12" s="64">
        <v>10</v>
      </c>
      <c r="K12" s="157" t="s">
        <v>27</v>
      </c>
      <c r="L12" s="158">
        <f>+(L10+L11)*J12%</f>
        <v>154.55384615384617</v>
      </c>
    </row>
    <row r="13" spans="2:13" ht="15.75" thickBot="1" x14ac:dyDescent="0.3">
      <c r="B13" s="112"/>
      <c r="C13" s="113" t="s">
        <v>49</v>
      </c>
      <c r="D13" s="64"/>
      <c r="E13" s="64"/>
      <c r="F13" s="64"/>
      <c r="G13" s="64"/>
      <c r="H13" s="64"/>
      <c r="I13" s="64" t="s">
        <v>26</v>
      </c>
      <c r="J13" s="64">
        <v>57</v>
      </c>
      <c r="K13" s="65" t="s">
        <v>27</v>
      </c>
      <c r="L13" s="114">
        <f>+(L10+L11)*J13%</f>
        <v>880.95692307692309</v>
      </c>
    </row>
    <row r="14" spans="2:13" x14ac:dyDescent="0.25">
      <c r="B14" s="116" t="s">
        <v>90</v>
      </c>
      <c r="C14" s="117"/>
      <c r="D14" s="117"/>
      <c r="E14" s="117"/>
      <c r="F14" s="117"/>
      <c r="G14" s="117"/>
      <c r="H14" s="117"/>
      <c r="I14" s="117"/>
      <c r="J14" s="117"/>
      <c r="K14" s="118"/>
      <c r="L14" s="103">
        <f>+SUM(L7:L13)</f>
        <v>7992.7572307692317</v>
      </c>
    </row>
    <row r="15" spans="2:13" ht="15.75" thickBot="1" x14ac:dyDescent="0.3">
      <c r="B15" s="119" t="s">
        <v>91</v>
      </c>
      <c r="C15" s="120"/>
      <c r="D15" s="120"/>
      <c r="E15" s="120"/>
      <c r="F15" s="120"/>
      <c r="G15" s="120"/>
      <c r="H15" s="120"/>
      <c r="I15" s="120"/>
      <c r="J15" s="120"/>
      <c r="K15" s="121"/>
      <c r="L15" s="122">
        <f>+L14/3</f>
        <v>2664.2524102564107</v>
      </c>
    </row>
    <row r="16" spans="2:13" x14ac:dyDescent="0.25">
      <c r="B16" s="123"/>
      <c r="C16" s="159" t="s">
        <v>92</v>
      </c>
      <c r="D16" s="124"/>
      <c r="E16" s="124"/>
      <c r="F16" s="124"/>
      <c r="G16" s="124"/>
      <c r="H16" s="124"/>
      <c r="I16" s="124"/>
      <c r="J16" s="124"/>
      <c r="K16" s="125"/>
      <c r="L16" s="126"/>
    </row>
    <row r="17" spans="2:12" x14ac:dyDescent="0.25">
      <c r="B17" s="109"/>
      <c r="C17" s="111" t="s">
        <v>93</v>
      </c>
      <c r="D17" s="106">
        <v>1</v>
      </c>
      <c r="E17" s="106">
        <f>+E4</f>
        <v>26</v>
      </c>
      <c r="F17" s="106" t="s">
        <v>79</v>
      </c>
      <c r="G17" s="106" t="s">
        <v>14</v>
      </c>
      <c r="H17" s="106" t="s">
        <v>15</v>
      </c>
      <c r="I17" s="106" t="s">
        <v>15</v>
      </c>
      <c r="J17" s="106">
        <f>+D17/E17/D17</f>
        <v>3.8461538461538464E-2</v>
      </c>
      <c r="K17" s="286">
        <f>+'Mat y mano obra'!D8</f>
        <v>10187</v>
      </c>
      <c r="L17" s="110">
        <f>+K17*J17</f>
        <v>391.80769230769232</v>
      </c>
    </row>
    <row r="18" spans="2:12" x14ac:dyDescent="0.25">
      <c r="B18" s="109"/>
      <c r="C18" s="138" t="s">
        <v>94</v>
      </c>
      <c r="D18" s="106"/>
      <c r="E18" s="106"/>
      <c r="F18" s="106"/>
      <c r="G18" s="106"/>
      <c r="H18" s="106"/>
      <c r="I18" s="106"/>
      <c r="J18" s="106"/>
      <c r="K18" s="102"/>
      <c r="L18" s="110"/>
    </row>
    <row r="19" spans="2:12" x14ac:dyDescent="0.25">
      <c r="B19" s="109"/>
      <c r="C19" s="111" t="s">
        <v>95</v>
      </c>
      <c r="D19" s="106"/>
      <c r="E19" s="106"/>
      <c r="F19" s="106"/>
      <c r="G19" s="106"/>
      <c r="H19" s="106"/>
      <c r="I19" s="106" t="s">
        <v>44</v>
      </c>
      <c r="J19" s="106">
        <v>0.1</v>
      </c>
      <c r="K19" s="160">
        <f>+'Mat y mano obra'!D35</f>
        <v>872</v>
      </c>
      <c r="L19" s="110">
        <f t="shared" ref="L19:L29" si="1">+K19*J19</f>
        <v>87.2</v>
      </c>
    </row>
    <row r="20" spans="2:12" x14ac:dyDescent="0.25">
      <c r="B20" s="109"/>
      <c r="C20" s="111" t="s">
        <v>96</v>
      </c>
      <c r="D20" s="106"/>
      <c r="E20" s="106"/>
      <c r="F20" s="106"/>
      <c r="G20" s="106"/>
      <c r="H20" s="106"/>
      <c r="I20" s="106" t="s">
        <v>44</v>
      </c>
      <c r="J20" s="106">
        <v>0.2</v>
      </c>
      <c r="K20" s="160">
        <f>+'Mat y mano obra'!D36</f>
        <v>882</v>
      </c>
      <c r="L20" s="110">
        <f t="shared" si="1"/>
        <v>176.4</v>
      </c>
    </row>
    <row r="21" spans="2:12" x14ac:dyDescent="0.25">
      <c r="B21" s="109"/>
      <c r="C21" s="111" t="s">
        <v>97</v>
      </c>
      <c r="D21" s="106"/>
      <c r="E21" s="106"/>
      <c r="F21" s="106"/>
      <c r="G21" s="106"/>
      <c r="H21" s="106"/>
      <c r="I21" s="106" t="s">
        <v>98</v>
      </c>
      <c r="J21" s="106">
        <v>6</v>
      </c>
      <c r="K21" s="102">
        <f>+'Mat y mano obra'!D37</f>
        <v>25</v>
      </c>
      <c r="L21" s="110">
        <f t="shared" si="1"/>
        <v>150</v>
      </c>
    </row>
    <row r="22" spans="2:12" x14ac:dyDescent="0.25">
      <c r="B22" s="109"/>
      <c r="C22" s="105" t="s">
        <v>29</v>
      </c>
      <c r="D22" s="106"/>
      <c r="E22" s="106">
        <f>+E17/2.5</f>
        <v>10.4</v>
      </c>
      <c r="F22" s="106" t="s">
        <v>79</v>
      </c>
      <c r="G22" s="106" t="s">
        <v>14</v>
      </c>
      <c r="H22" s="106" t="s">
        <v>15</v>
      </c>
      <c r="I22" s="106" t="s">
        <v>15</v>
      </c>
      <c r="J22" s="106">
        <v>7.6899999999999996E-2</v>
      </c>
      <c r="K22" s="102"/>
      <c r="L22" s="110">
        <f t="shared" si="1"/>
        <v>0</v>
      </c>
    </row>
    <row r="23" spans="2:12" x14ac:dyDescent="0.25">
      <c r="B23" s="109"/>
      <c r="C23" s="111" t="s">
        <v>88</v>
      </c>
      <c r="D23" s="106">
        <v>1</v>
      </c>
      <c r="E23" s="106">
        <f>+E22</f>
        <v>10.4</v>
      </c>
      <c r="F23" s="106" t="s">
        <v>79</v>
      </c>
      <c r="G23" s="106" t="s">
        <v>14</v>
      </c>
      <c r="H23" s="106" t="s">
        <v>35</v>
      </c>
      <c r="I23" s="106" t="s">
        <v>35</v>
      </c>
      <c r="J23" s="106">
        <f>+D23/E23/D23</f>
        <v>9.6153846153846145E-2</v>
      </c>
      <c r="K23" s="286">
        <f>+'Mat y mano obra'!D5</f>
        <v>16492</v>
      </c>
      <c r="L23" s="110">
        <f t="shared" si="1"/>
        <v>1585.7692307692307</v>
      </c>
    </row>
    <row r="24" spans="2:12" x14ac:dyDescent="0.25">
      <c r="B24" s="109"/>
      <c r="C24" s="111" t="s">
        <v>89</v>
      </c>
      <c r="D24" s="106">
        <v>2</v>
      </c>
      <c r="E24" s="106">
        <f>+E23/D24</f>
        <v>5.2</v>
      </c>
      <c r="F24" s="106" t="s">
        <v>79</v>
      </c>
      <c r="G24" s="106" t="s">
        <v>14</v>
      </c>
      <c r="H24" s="106" t="s">
        <v>35</v>
      </c>
      <c r="I24" s="106" t="s">
        <v>35</v>
      </c>
      <c r="J24" s="106">
        <f>+D24/E24/D24</f>
        <v>0.19230769230769229</v>
      </c>
      <c r="K24" s="286">
        <f>+'Mat y mano obra'!D7</f>
        <v>11846</v>
      </c>
      <c r="L24" s="110">
        <f t="shared" si="1"/>
        <v>2278.0769230769229</v>
      </c>
    </row>
    <row r="25" spans="2:12" x14ac:dyDescent="0.25">
      <c r="B25" s="109"/>
      <c r="C25" s="138" t="s">
        <v>99</v>
      </c>
      <c r="D25" s="106"/>
      <c r="E25" s="106"/>
      <c r="F25" s="106"/>
      <c r="G25" s="106"/>
      <c r="H25" s="106"/>
      <c r="I25" s="106"/>
      <c r="J25" s="106"/>
      <c r="K25" s="286"/>
      <c r="L25" s="110">
        <f t="shared" si="1"/>
        <v>0</v>
      </c>
    </row>
    <row r="26" spans="2:12" x14ac:dyDescent="0.25">
      <c r="B26" s="109"/>
      <c r="C26" s="111" t="s">
        <v>100</v>
      </c>
      <c r="D26" s="106"/>
      <c r="E26" s="106"/>
      <c r="F26" s="106"/>
      <c r="G26" s="106"/>
      <c r="H26" s="106"/>
      <c r="I26" s="106" t="s">
        <v>44</v>
      </c>
      <c r="J26" s="106">
        <v>1.4E-2</v>
      </c>
      <c r="K26" s="286">
        <f>+'Mat y mano obra'!D38</f>
        <v>2000</v>
      </c>
      <c r="L26" s="110">
        <f t="shared" si="1"/>
        <v>28</v>
      </c>
    </row>
    <row r="27" spans="2:12" x14ac:dyDescent="0.25">
      <c r="B27" s="109"/>
      <c r="C27" s="111" t="s">
        <v>93</v>
      </c>
      <c r="D27" s="106">
        <v>1</v>
      </c>
      <c r="E27" s="106">
        <f>+E17*3.3</f>
        <v>85.8</v>
      </c>
      <c r="F27" s="106" t="s">
        <v>79</v>
      </c>
      <c r="G27" s="106" t="s">
        <v>14</v>
      </c>
      <c r="H27" s="106" t="s">
        <v>15</v>
      </c>
      <c r="I27" s="106" t="s">
        <v>15</v>
      </c>
      <c r="J27" s="106">
        <f>+D27/E27/D27</f>
        <v>1.1655011655011656E-2</v>
      </c>
      <c r="K27" s="286">
        <f>+'Mat y mano obra'!D8</f>
        <v>10187</v>
      </c>
      <c r="L27" s="110">
        <f t="shared" si="1"/>
        <v>118.72960372960374</v>
      </c>
    </row>
    <row r="28" spans="2:12" x14ac:dyDescent="0.25">
      <c r="B28" s="109"/>
      <c r="C28" s="155" t="s">
        <v>123</v>
      </c>
      <c r="D28" s="156"/>
      <c r="E28" s="156"/>
      <c r="F28" s="156"/>
      <c r="G28" s="156"/>
      <c r="H28" s="156"/>
      <c r="I28" s="156" t="s">
        <v>26</v>
      </c>
      <c r="J28" s="106">
        <v>10</v>
      </c>
      <c r="K28" s="291"/>
      <c r="L28" s="158">
        <f t="shared" si="1"/>
        <v>0</v>
      </c>
    </row>
    <row r="29" spans="2:12" x14ac:dyDescent="0.25">
      <c r="B29" s="109"/>
      <c r="C29" s="111" t="s">
        <v>37</v>
      </c>
      <c r="D29" s="106">
        <v>1</v>
      </c>
      <c r="E29" s="106">
        <f>+E17*13.4</f>
        <v>348.40000000000003</v>
      </c>
      <c r="F29" s="106" t="s">
        <v>79</v>
      </c>
      <c r="G29" s="106" t="s">
        <v>14</v>
      </c>
      <c r="H29" s="106" t="s">
        <v>15</v>
      </c>
      <c r="I29" s="106" t="s">
        <v>15</v>
      </c>
      <c r="J29" s="106">
        <f>+D29/E29/D29</f>
        <v>2.8702640642939148E-3</v>
      </c>
      <c r="K29" s="286">
        <f>+'Mat y mano obra'!D4</f>
        <v>21535</v>
      </c>
      <c r="L29" s="110">
        <f t="shared" si="1"/>
        <v>61.811136624569457</v>
      </c>
    </row>
    <row r="30" spans="2:12" x14ac:dyDescent="0.25">
      <c r="B30" s="109"/>
      <c r="C30" s="111" t="s">
        <v>49</v>
      </c>
      <c r="D30" s="106"/>
      <c r="E30" s="106"/>
      <c r="F30" s="106"/>
      <c r="G30" s="106"/>
      <c r="H30" s="106"/>
      <c r="I30" s="106" t="s">
        <v>26</v>
      </c>
      <c r="J30" s="106">
        <v>57</v>
      </c>
      <c r="K30" s="102" t="s">
        <v>27</v>
      </c>
      <c r="L30" s="110"/>
    </row>
    <row r="31" spans="2:12" ht="15.75" thickBot="1" x14ac:dyDescent="0.3">
      <c r="B31" s="119" t="s">
        <v>101</v>
      </c>
      <c r="C31" s="120"/>
      <c r="D31" s="120"/>
      <c r="E31" s="120"/>
      <c r="F31" s="120"/>
      <c r="G31" s="120"/>
      <c r="H31" s="120"/>
      <c r="I31" s="120"/>
      <c r="J31" s="120"/>
      <c r="K31" s="121"/>
      <c r="L31" s="73">
        <f>+SUM(L17:L30)</f>
        <v>4877.7945865080192</v>
      </c>
    </row>
    <row r="33" spans="2:12" ht="15.75" thickBot="1" x14ac:dyDescent="0.3"/>
    <row r="34" spans="2:12" ht="15.75" thickBot="1" x14ac:dyDescent="0.3">
      <c r="B34" s="97" t="s">
        <v>0</v>
      </c>
      <c r="C34" s="98" t="s">
        <v>1</v>
      </c>
      <c r="D34" s="99" t="s">
        <v>2</v>
      </c>
      <c r="E34" s="100" t="s">
        <v>3</v>
      </c>
      <c r="F34" s="621" t="s">
        <v>4</v>
      </c>
      <c r="G34" s="622"/>
      <c r="H34" s="623"/>
      <c r="I34" s="98" t="s">
        <v>5</v>
      </c>
      <c r="J34" s="98" t="s">
        <v>6</v>
      </c>
      <c r="K34" s="98" t="s">
        <v>7</v>
      </c>
      <c r="L34" s="101" t="s">
        <v>8</v>
      </c>
    </row>
    <row r="35" spans="2:12" x14ac:dyDescent="0.25">
      <c r="B35" s="104"/>
      <c r="C35" s="105" t="s">
        <v>124</v>
      </c>
      <c r="D35" s="106"/>
      <c r="E35" s="106">
        <f>+rendimiento!C23</f>
        <v>26</v>
      </c>
      <c r="F35" s="106"/>
      <c r="G35" s="106"/>
      <c r="H35" s="106"/>
      <c r="I35" s="107" t="s">
        <v>79</v>
      </c>
      <c r="J35" s="107">
        <v>1</v>
      </c>
      <c r="K35" s="102"/>
      <c r="L35" s="108">
        <f>+L45+L61</f>
        <v>11939.951817277251</v>
      </c>
    </row>
    <row r="36" spans="2:12" x14ac:dyDescent="0.25">
      <c r="B36" s="109"/>
      <c r="C36" s="105" t="s">
        <v>84</v>
      </c>
      <c r="D36" s="106"/>
      <c r="E36" s="106"/>
      <c r="F36" s="106"/>
      <c r="G36" s="106"/>
      <c r="H36" s="106"/>
      <c r="I36" s="106"/>
      <c r="J36" s="106"/>
      <c r="K36" s="102"/>
      <c r="L36" s="110"/>
    </row>
    <row r="37" spans="2:12" x14ac:dyDescent="0.25">
      <c r="B37" s="109"/>
      <c r="C37" s="138" t="s">
        <v>125</v>
      </c>
      <c r="D37" s="106"/>
      <c r="E37" s="106"/>
      <c r="F37" s="106"/>
      <c r="G37" s="106"/>
      <c r="H37" s="106"/>
      <c r="I37" s="106"/>
      <c r="J37" s="106"/>
      <c r="K37" s="102"/>
      <c r="L37" s="110"/>
    </row>
    <row r="38" spans="2:12" x14ac:dyDescent="0.25">
      <c r="B38" s="109"/>
      <c r="C38" s="111" t="s">
        <v>122</v>
      </c>
      <c r="D38" s="106"/>
      <c r="E38" s="106"/>
      <c r="F38" s="106"/>
      <c r="G38" s="106"/>
      <c r="H38" s="106"/>
      <c r="I38" s="106" t="s">
        <v>79</v>
      </c>
      <c r="J38" s="115">
        <v>0.27200000000000002</v>
      </c>
      <c r="K38" s="160">
        <f>+'Mat y mano obra'!D33</f>
        <v>14764</v>
      </c>
      <c r="L38" s="110">
        <f>+K38*J38</f>
        <v>4015.8080000000004</v>
      </c>
    </row>
    <row r="39" spans="2:12" x14ac:dyDescent="0.25">
      <c r="B39" s="109"/>
      <c r="C39" s="111" t="s">
        <v>85</v>
      </c>
      <c r="D39" s="106"/>
      <c r="E39" s="106"/>
      <c r="F39" s="106"/>
      <c r="G39" s="106"/>
      <c r="H39" s="106"/>
      <c r="I39" s="106" t="s">
        <v>86</v>
      </c>
      <c r="J39" s="115">
        <f>0.15</f>
        <v>0.15</v>
      </c>
      <c r="K39" s="160">
        <f>+'Mat y mano obra'!D34</f>
        <v>3102</v>
      </c>
      <c r="L39" s="110">
        <f>+K39*J39</f>
        <v>465.29999999999995</v>
      </c>
    </row>
    <row r="40" spans="2:12" x14ac:dyDescent="0.25">
      <c r="B40" s="109"/>
      <c r="C40" s="105" t="s">
        <v>87</v>
      </c>
      <c r="D40" s="106"/>
      <c r="E40" s="106">
        <f>+E35</f>
        <v>26</v>
      </c>
      <c r="F40" s="106" t="s">
        <v>79</v>
      </c>
      <c r="G40" s="106" t="s">
        <v>14</v>
      </c>
      <c r="H40" s="106" t="s">
        <v>15</v>
      </c>
      <c r="I40" s="106" t="s">
        <v>15</v>
      </c>
      <c r="J40" s="115">
        <v>3.0300000000000001E-2</v>
      </c>
      <c r="K40" s="102"/>
      <c r="L40" s="110"/>
    </row>
    <row r="41" spans="2:12" x14ac:dyDescent="0.25">
      <c r="B41" s="109"/>
      <c r="C41" s="111" t="s">
        <v>88</v>
      </c>
      <c r="D41" s="106">
        <v>1</v>
      </c>
      <c r="E41" s="106">
        <f>+E35</f>
        <v>26</v>
      </c>
      <c r="F41" s="106" t="s">
        <v>79</v>
      </c>
      <c r="G41" s="106"/>
      <c r="H41" s="106" t="s">
        <v>35</v>
      </c>
      <c r="I41" s="106" t="s">
        <v>35</v>
      </c>
      <c r="J41" s="115">
        <f>+D41/E41</f>
        <v>3.8461538461538464E-2</v>
      </c>
      <c r="K41" s="286">
        <f>+'Mat y mano obra'!D5</f>
        <v>16492</v>
      </c>
      <c r="L41" s="110">
        <f t="shared" ref="L41:L42" si="2">+K41*J41</f>
        <v>634.30769230769238</v>
      </c>
    </row>
    <row r="42" spans="2:12" x14ac:dyDescent="0.25">
      <c r="B42" s="109"/>
      <c r="C42" s="111" t="s">
        <v>89</v>
      </c>
      <c r="D42" s="106">
        <v>2</v>
      </c>
      <c r="E42" s="106">
        <f>+E35/D42</f>
        <v>13</v>
      </c>
      <c r="F42" s="106" t="s">
        <v>79</v>
      </c>
      <c r="G42" s="106"/>
      <c r="H42" s="106" t="s">
        <v>35</v>
      </c>
      <c r="I42" s="106" t="s">
        <v>35</v>
      </c>
      <c r="J42" s="115">
        <f>+D42/E42/D42</f>
        <v>7.6923076923076927E-2</v>
      </c>
      <c r="K42" s="286">
        <f>+'Mat y mano obra'!D7</f>
        <v>11846</v>
      </c>
      <c r="L42" s="110">
        <f t="shared" si="2"/>
        <v>911.23076923076928</v>
      </c>
    </row>
    <row r="43" spans="2:12" ht="15.75" thickBot="1" x14ac:dyDescent="0.3">
      <c r="B43" s="127"/>
      <c r="C43" s="155" t="s">
        <v>123</v>
      </c>
      <c r="D43" s="156"/>
      <c r="E43" s="156"/>
      <c r="F43" s="156"/>
      <c r="G43" s="156"/>
      <c r="H43" s="156"/>
      <c r="I43" s="156" t="s">
        <v>26</v>
      </c>
      <c r="J43" s="64">
        <v>10</v>
      </c>
      <c r="K43" s="157" t="s">
        <v>27</v>
      </c>
      <c r="L43" s="158">
        <f>+(L41+L42)*J43%</f>
        <v>154.55384615384617</v>
      </c>
    </row>
    <row r="44" spans="2:12" ht="15.75" thickBot="1" x14ac:dyDescent="0.3">
      <c r="B44" s="112"/>
      <c r="C44" s="113" t="s">
        <v>49</v>
      </c>
      <c r="D44" s="64"/>
      <c r="E44" s="64"/>
      <c r="F44" s="64"/>
      <c r="G44" s="64"/>
      <c r="H44" s="64"/>
      <c r="I44" s="64" t="s">
        <v>26</v>
      </c>
      <c r="J44" s="64">
        <v>57</v>
      </c>
      <c r="K44" s="65" t="s">
        <v>27</v>
      </c>
      <c r="L44" s="114">
        <f>+(L41+L42)*J44%</f>
        <v>880.95692307692309</v>
      </c>
    </row>
    <row r="45" spans="2:12" ht="15.75" thickBot="1" x14ac:dyDescent="0.3">
      <c r="B45" s="116" t="s">
        <v>90</v>
      </c>
      <c r="C45" s="117"/>
      <c r="D45" s="117"/>
      <c r="E45" s="117"/>
      <c r="F45" s="117"/>
      <c r="G45" s="117"/>
      <c r="H45" s="117"/>
      <c r="I45" s="117"/>
      <c r="J45" s="117"/>
      <c r="K45" s="118"/>
      <c r="L45" s="103">
        <f>+SUM(L38:L44)</f>
        <v>7062.1572307692313</v>
      </c>
    </row>
    <row r="46" spans="2:12" x14ac:dyDescent="0.25">
      <c r="B46" s="123"/>
      <c r="C46" s="159" t="s">
        <v>92</v>
      </c>
      <c r="D46" s="124"/>
      <c r="E46" s="124"/>
      <c r="F46" s="124"/>
      <c r="G46" s="124"/>
      <c r="H46" s="124"/>
      <c r="I46" s="124"/>
      <c r="J46" s="124"/>
      <c r="K46" s="125"/>
      <c r="L46" s="126"/>
    </row>
    <row r="47" spans="2:12" x14ac:dyDescent="0.25">
      <c r="B47" s="109"/>
      <c r="C47" s="111" t="s">
        <v>93</v>
      </c>
      <c r="D47" s="106">
        <v>1</v>
      </c>
      <c r="E47" s="106">
        <f>+E35</f>
        <v>26</v>
      </c>
      <c r="F47" s="106" t="s">
        <v>79</v>
      </c>
      <c r="G47" s="106" t="s">
        <v>14</v>
      </c>
      <c r="H47" s="106" t="s">
        <v>15</v>
      </c>
      <c r="I47" s="106" t="s">
        <v>15</v>
      </c>
      <c r="J47" s="106">
        <f>+D47/E47/D47</f>
        <v>3.8461538461538464E-2</v>
      </c>
      <c r="K47" s="286">
        <f>+'Mat y mano obra'!D8</f>
        <v>10187</v>
      </c>
      <c r="L47" s="110">
        <f>+K47*J47</f>
        <v>391.80769230769232</v>
      </c>
    </row>
    <row r="48" spans="2:12" x14ac:dyDescent="0.25">
      <c r="B48" s="109"/>
      <c r="C48" s="138" t="s">
        <v>94</v>
      </c>
      <c r="D48" s="106"/>
      <c r="E48" s="106"/>
      <c r="F48" s="106"/>
      <c r="G48" s="106"/>
      <c r="H48" s="106"/>
      <c r="I48" s="106"/>
      <c r="J48" s="106"/>
      <c r="K48" s="102"/>
      <c r="L48" s="110"/>
    </row>
    <row r="49" spans="2:12" x14ac:dyDescent="0.25">
      <c r="B49" s="109"/>
      <c r="C49" s="111" t="s">
        <v>95</v>
      </c>
      <c r="D49" s="106"/>
      <c r="E49" s="106"/>
      <c r="F49" s="106"/>
      <c r="G49" s="106"/>
      <c r="H49" s="106"/>
      <c r="I49" s="106" t="s">
        <v>44</v>
      </c>
      <c r="J49" s="106">
        <v>0.1</v>
      </c>
      <c r="K49" s="160">
        <f>+'Mat y mano obra'!D35</f>
        <v>872</v>
      </c>
      <c r="L49" s="110">
        <f t="shared" ref="L49:L59" si="3">+K49*J49</f>
        <v>87.2</v>
      </c>
    </row>
    <row r="50" spans="2:12" x14ac:dyDescent="0.25">
      <c r="B50" s="109"/>
      <c r="C50" s="111" t="s">
        <v>96</v>
      </c>
      <c r="D50" s="106"/>
      <c r="E50" s="106"/>
      <c r="F50" s="106"/>
      <c r="G50" s="106"/>
      <c r="H50" s="106"/>
      <c r="I50" s="106" t="s">
        <v>44</v>
      </c>
      <c r="J50" s="106">
        <v>0.2</v>
      </c>
      <c r="K50" s="160">
        <f>+'Mat y mano obra'!D36</f>
        <v>882</v>
      </c>
      <c r="L50" s="110">
        <f t="shared" si="3"/>
        <v>176.4</v>
      </c>
    </row>
    <row r="51" spans="2:12" x14ac:dyDescent="0.25">
      <c r="B51" s="109"/>
      <c r="C51" s="111" t="s">
        <v>97</v>
      </c>
      <c r="D51" s="106"/>
      <c r="E51" s="106"/>
      <c r="F51" s="106"/>
      <c r="G51" s="106"/>
      <c r="H51" s="106"/>
      <c r="I51" s="106" t="s">
        <v>98</v>
      </c>
      <c r="J51" s="106">
        <v>6</v>
      </c>
      <c r="K51" s="102">
        <f>+'Mat y mano obra'!D37</f>
        <v>25</v>
      </c>
      <c r="L51" s="110">
        <f t="shared" si="3"/>
        <v>150</v>
      </c>
    </row>
    <row r="52" spans="2:12" x14ac:dyDescent="0.25">
      <c r="B52" s="109"/>
      <c r="C52" s="105" t="s">
        <v>29</v>
      </c>
      <c r="D52" s="106"/>
      <c r="E52" s="106">
        <f>+E47/2.5</f>
        <v>10.4</v>
      </c>
      <c r="F52" s="106" t="s">
        <v>79</v>
      </c>
      <c r="G52" s="106" t="s">
        <v>14</v>
      </c>
      <c r="H52" s="106" t="s">
        <v>15</v>
      </c>
      <c r="I52" s="106" t="s">
        <v>15</v>
      </c>
      <c r="J52" s="106">
        <v>7.6899999999999996E-2</v>
      </c>
      <c r="K52" s="102"/>
      <c r="L52" s="110">
        <f t="shared" si="3"/>
        <v>0</v>
      </c>
    </row>
    <row r="53" spans="2:12" x14ac:dyDescent="0.25">
      <c r="B53" s="109"/>
      <c r="C53" s="111" t="s">
        <v>88</v>
      </c>
      <c r="D53" s="106">
        <v>1</v>
      </c>
      <c r="E53" s="106">
        <f>+E52</f>
        <v>10.4</v>
      </c>
      <c r="F53" s="106" t="s">
        <v>79</v>
      </c>
      <c r="G53" s="106" t="s">
        <v>14</v>
      </c>
      <c r="H53" s="106" t="s">
        <v>35</v>
      </c>
      <c r="I53" s="106" t="s">
        <v>35</v>
      </c>
      <c r="J53" s="106">
        <f>+D53/E53/D53</f>
        <v>9.6153846153846145E-2</v>
      </c>
      <c r="K53" s="286">
        <f>+'Mat y mano obra'!D5</f>
        <v>16492</v>
      </c>
      <c r="L53" s="110">
        <f t="shared" si="3"/>
        <v>1585.7692307692307</v>
      </c>
    </row>
    <row r="54" spans="2:12" x14ac:dyDescent="0.25">
      <c r="B54" s="109"/>
      <c r="C54" s="111" t="s">
        <v>89</v>
      </c>
      <c r="D54" s="106">
        <v>2</v>
      </c>
      <c r="E54" s="106">
        <f>+E53/D54</f>
        <v>5.2</v>
      </c>
      <c r="F54" s="106" t="s">
        <v>79</v>
      </c>
      <c r="G54" s="106" t="s">
        <v>14</v>
      </c>
      <c r="H54" s="106" t="s">
        <v>35</v>
      </c>
      <c r="I54" s="106" t="s">
        <v>35</v>
      </c>
      <c r="J54" s="106">
        <f>+D54/E54/D54</f>
        <v>0.19230769230769229</v>
      </c>
      <c r="K54" s="286">
        <f>+'Mat y mano obra'!D7</f>
        <v>11846</v>
      </c>
      <c r="L54" s="110">
        <f t="shared" si="3"/>
        <v>2278.0769230769229</v>
      </c>
    </row>
    <row r="55" spans="2:12" x14ac:dyDescent="0.25">
      <c r="B55" s="109"/>
      <c r="C55" s="138" t="s">
        <v>99</v>
      </c>
      <c r="D55" s="106"/>
      <c r="E55" s="106"/>
      <c r="F55" s="106"/>
      <c r="G55" s="106"/>
      <c r="H55" s="106"/>
      <c r="I55" s="106"/>
      <c r="J55" s="106"/>
      <c r="K55" s="286"/>
      <c r="L55" s="110">
        <f t="shared" si="3"/>
        <v>0</v>
      </c>
    </row>
    <row r="56" spans="2:12" x14ac:dyDescent="0.25">
      <c r="B56" s="109"/>
      <c r="C56" s="111" t="s">
        <v>100</v>
      </c>
      <c r="D56" s="106"/>
      <c r="E56" s="106"/>
      <c r="F56" s="106"/>
      <c r="G56" s="106"/>
      <c r="H56" s="106"/>
      <c r="I56" s="106" t="s">
        <v>44</v>
      </c>
      <c r="J56" s="106">
        <v>1.4E-2</v>
      </c>
      <c r="K56" s="286">
        <f>+'Mat y mano obra'!D38</f>
        <v>2000</v>
      </c>
      <c r="L56" s="110">
        <f t="shared" si="3"/>
        <v>28</v>
      </c>
    </row>
    <row r="57" spans="2:12" x14ac:dyDescent="0.25">
      <c r="B57" s="109"/>
      <c r="C57" s="111" t="s">
        <v>93</v>
      </c>
      <c r="D57" s="106">
        <v>1</v>
      </c>
      <c r="E57" s="106">
        <f>+E47*3.3</f>
        <v>85.8</v>
      </c>
      <c r="F57" s="106" t="s">
        <v>79</v>
      </c>
      <c r="G57" s="106" t="s">
        <v>14</v>
      </c>
      <c r="H57" s="106" t="s">
        <v>15</v>
      </c>
      <c r="I57" s="106" t="s">
        <v>15</v>
      </c>
      <c r="J57" s="106">
        <f>+D57/E57/D57</f>
        <v>1.1655011655011656E-2</v>
      </c>
      <c r="K57" s="286">
        <f>+'Mat y mano obra'!D8</f>
        <v>10187</v>
      </c>
      <c r="L57" s="110">
        <f t="shared" si="3"/>
        <v>118.72960372960374</v>
      </c>
    </row>
    <row r="58" spans="2:12" x14ac:dyDescent="0.25">
      <c r="B58" s="109"/>
      <c r="C58" s="155" t="s">
        <v>123</v>
      </c>
      <c r="D58" s="156"/>
      <c r="E58" s="156"/>
      <c r="F58" s="156"/>
      <c r="G58" s="156"/>
      <c r="H58" s="156"/>
      <c r="I58" s="156" t="s">
        <v>26</v>
      </c>
      <c r="J58" s="106">
        <v>10</v>
      </c>
      <c r="K58" s="291"/>
      <c r="L58" s="158">
        <f t="shared" si="3"/>
        <v>0</v>
      </c>
    </row>
    <row r="59" spans="2:12" x14ac:dyDescent="0.25">
      <c r="B59" s="109"/>
      <c r="C59" s="111" t="s">
        <v>37</v>
      </c>
      <c r="D59" s="106">
        <v>1</v>
      </c>
      <c r="E59" s="106">
        <f>+E47*13.4</f>
        <v>348.40000000000003</v>
      </c>
      <c r="F59" s="106" t="s">
        <v>79</v>
      </c>
      <c r="G59" s="106" t="s">
        <v>14</v>
      </c>
      <c r="H59" s="106" t="s">
        <v>15</v>
      </c>
      <c r="I59" s="106" t="s">
        <v>15</v>
      </c>
      <c r="J59" s="106">
        <f>+D59/E59/D59</f>
        <v>2.8702640642939148E-3</v>
      </c>
      <c r="K59" s="286">
        <f>+'Mat y mano obra'!D4</f>
        <v>21535</v>
      </c>
      <c r="L59" s="110">
        <f t="shared" si="3"/>
        <v>61.811136624569457</v>
      </c>
    </row>
    <row r="60" spans="2:12" x14ac:dyDescent="0.25">
      <c r="B60" s="109">
        <v>1030</v>
      </c>
      <c r="C60" s="111" t="s">
        <v>49</v>
      </c>
      <c r="D60" s="106"/>
      <c r="E60" s="106"/>
      <c r="F60" s="106"/>
      <c r="G60" s="106"/>
      <c r="H60" s="106"/>
      <c r="I60" s="106" t="s">
        <v>26</v>
      </c>
      <c r="J60" s="106">
        <v>57</v>
      </c>
      <c r="K60" s="102" t="s">
        <v>27</v>
      </c>
      <c r="L60" s="110"/>
    </row>
    <row r="61" spans="2:12" ht="15.75" thickBot="1" x14ac:dyDescent="0.3">
      <c r="B61" s="119" t="s">
        <v>101</v>
      </c>
      <c r="C61" s="120"/>
      <c r="D61" s="120"/>
      <c r="E61" s="120"/>
      <c r="F61" s="120"/>
      <c r="G61" s="120"/>
      <c r="H61" s="120"/>
      <c r="I61" s="120"/>
      <c r="J61" s="120"/>
      <c r="K61" s="121"/>
      <c r="L61" s="73">
        <f>+SUM(L47:L60)</f>
        <v>4877.7945865080192</v>
      </c>
    </row>
  </sheetData>
  <mergeCells count="2">
    <mergeCell ref="F3:H3"/>
    <mergeCell ref="F34:H3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B2:P28"/>
  <sheetViews>
    <sheetView workbookViewId="0">
      <selection activeCell="P11" sqref="P11"/>
    </sheetView>
  </sheetViews>
  <sheetFormatPr baseColWidth="10" defaultRowHeight="15" x14ac:dyDescent="0.25"/>
  <cols>
    <col min="2" max="2" width="5.28515625" bestFit="1" customWidth="1"/>
    <col min="3" max="3" width="42.42578125" bestFit="1" customWidth="1"/>
    <col min="4" max="4" width="5.42578125" bestFit="1" customWidth="1"/>
    <col min="5" max="5" width="6.28515625" bestFit="1" customWidth="1"/>
    <col min="6" max="6" width="3.140625" bestFit="1" customWidth="1"/>
    <col min="7" max="7" width="1.8554687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6.5703125" bestFit="1" customWidth="1"/>
    <col min="12" max="12" width="9.5703125" bestFit="1" customWidth="1"/>
  </cols>
  <sheetData>
    <row r="2" spans="2:12" ht="15.75" thickBot="1" x14ac:dyDescent="0.3"/>
    <row r="3" spans="2:12" ht="15.75" thickBot="1" x14ac:dyDescent="0.3">
      <c r="B3" s="1" t="s">
        <v>0</v>
      </c>
      <c r="C3" s="2" t="s">
        <v>1</v>
      </c>
      <c r="D3" s="3" t="s">
        <v>2</v>
      </c>
      <c r="E3" s="4" t="s">
        <v>3</v>
      </c>
      <c r="F3" s="618" t="s">
        <v>4</v>
      </c>
      <c r="G3" s="619"/>
      <c r="H3" s="620"/>
      <c r="I3" s="2" t="s">
        <v>5</v>
      </c>
      <c r="J3" s="2" t="s">
        <v>6</v>
      </c>
      <c r="K3" s="2" t="s">
        <v>7</v>
      </c>
      <c r="L3" s="31" t="s">
        <v>8</v>
      </c>
    </row>
    <row r="4" spans="2:12" x14ac:dyDescent="0.25">
      <c r="B4" s="32"/>
      <c r="C4" s="33" t="s">
        <v>202</v>
      </c>
      <c r="D4" s="34"/>
      <c r="E4" s="59">
        <f>+rendimiento!D24</f>
        <v>120</v>
      </c>
      <c r="F4" s="34"/>
      <c r="G4" s="34"/>
      <c r="H4" s="34"/>
      <c r="I4" s="35" t="s">
        <v>203</v>
      </c>
      <c r="J4" s="35">
        <v>1</v>
      </c>
      <c r="K4" s="36"/>
      <c r="L4" s="37">
        <f>+SUM(L5:L28)</f>
        <v>5403.946649999999</v>
      </c>
    </row>
    <row r="5" spans="2:12" x14ac:dyDescent="0.25">
      <c r="B5" s="38"/>
      <c r="D5" s="40"/>
      <c r="E5" s="40"/>
      <c r="F5" s="40"/>
      <c r="G5" s="40"/>
      <c r="H5" s="40"/>
      <c r="I5" s="41"/>
      <c r="J5" s="41"/>
      <c r="K5" s="29"/>
      <c r="L5" s="43"/>
    </row>
    <row r="6" spans="2:12" x14ac:dyDescent="0.25">
      <c r="B6" s="44"/>
      <c r="C6" s="18" t="s">
        <v>12</v>
      </c>
      <c r="D6" s="40"/>
      <c r="E6" s="40"/>
      <c r="F6" s="40"/>
      <c r="G6" s="40"/>
      <c r="H6" s="40"/>
      <c r="I6" s="40"/>
      <c r="J6" s="40"/>
      <c r="K6" s="29"/>
      <c r="L6" s="47"/>
    </row>
    <row r="7" spans="2:12" x14ac:dyDescent="0.25">
      <c r="B7" s="44"/>
      <c r="C7" s="13" t="s">
        <v>204</v>
      </c>
      <c r="D7" s="40"/>
      <c r="E7" s="40"/>
      <c r="F7" s="40"/>
      <c r="G7" s="40"/>
      <c r="H7" s="40"/>
      <c r="I7" s="40" t="s">
        <v>203</v>
      </c>
      <c r="J7" s="56">
        <v>1</v>
      </c>
      <c r="K7" s="29">
        <f>+'Mat y mano obra'!C39</f>
        <v>4785</v>
      </c>
      <c r="L7" s="47">
        <f>+K7*J7</f>
        <v>4785</v>
      </c>
    </row>
    <row r="8" spans="2:12" x14ac:dyDescent="0.25">
      <c r="B8" s="44"/>
      <c r="C8" s="13" t="s">
        <v>207</v>
      </c>
      <c r="D8" s="40"/>
      <c r="E8" s="40"/>
      <c r="F8" s="40"/>
      <c r="G8" s="40"/>
      <c r="H8" s="40"/>
      <c r="I8" s="40" t="s">
        <v>26</v>
      </c>
      <c r="J8" s="56">
        <v>5</v>
      </c>
      <c r="K8" s="29">
        <f>+L7*J8%</f>
        <v>239.25</v>
      </c>
      <c r="L8" s="47">
        <f>+K8</f>
        <v>239.25</v>
      </c>
    </row>
    <row r="9" spans="2:12" x14ac:dyDescent="0.25">
      <c r="B9" s="44"/>
      <c r="C9" s="21" t="s">
        <v>28</v>
      </c>
      <c r="D9" s="40"/>
      <c r="E9" s="40"/>
      <c r="F9" s="40"/>
      <c r="G9" s="40"/>
      <c r="H9" s="40"/>
      <c r="I9" s="40"/>
      <c r="J9" s="56"/>
      <c r="K9" s="58"/>
      <c r="L9" s="47"/>
    </row>
    <row r="10" spans="2:12" x14ac:dyDescent="0.25">
      <c r="B10" s="44"/>
      <c r="C10" s="13" t="s">
        <v>205</v>
      </c>
      <c r="D10" s="40">
        <v>1</v>
      </c>
      <c r="E10" s="40">
        <f>+E4</f>
        <v>120</v>
      </c>
      <c r="F10" s="40" t="s">
        <v>203</v>
      </c>
      <c r="G10" s="40" t="s">
        <v>14</v>
      </c>
      <c r="H10" s="40" t="s">
        <v>15</v>
      </c>
      <c r="I10" s="82" t="s">
        <v>15</v>
      </c>
      <c r="J10" s="56">
        <f>+D10/E10/D10</f>
        <v>8.3333333333333332E-3</v>
      </c>
      <c r="K10" s="58">
        <f>+'Mat y mano obra'!C8</f>
        <v>10187</v>
      </c>
      <c r="L10" s="47">
        <f>+K10*J10</f>
        <v>84.891666666666666</v>
      </c>
    </row>
    <row r="11" spans="2:12" x14ac:dyDescent="0.25">
      <c r="B11" s="44"/>
      <c r="C11" s="13" t="s">
        <v>206</v>
      </c>
      <c r="D11" s="40">
        <v>1</v>
      </c>
      <c r="E11" s="40">
        <f>+E4</f>
        <v>120</v>
      </c>
      <c r="F11" s="40" t="s">
        <v>203</v>
      </c>
      <c r="G11" s="40" t="s">
        <v>14</v>
      </c>
      <c r="H11" s="40" t="s">
        <v>15</v>
      </c>
      <c r="I11" s="82" t="s">
        <v>35</v>
      </c>
      <c r="J11" s="56">
        <f>+D11/E11/D11</f>
        <v>8.3333333333333332E-3</v>
      </c>
      <c r="K11" s="29">
        <f>+'Mat y mano obra'!C5</f>
        <v>14806</v>
      </c>
      <c r="L11" s="47">
        <f>+K11*J11</f>
        <v>123.38333333333333</v>
      </c>
    </row>
    <row r="12" spans="2:12" x14ac:dyDescent="0.25">
      <c r="B12" s="44"/>
      <c r="C12" s="13" t="s">
        <v>37</v>
      </c>
      <c r="D12" s="40">
        <v>5</v>
      </c>
      <c r="E12" s="57">
        <f>+E4*D12</f>
        <v>600</v>
      </c>
      <c r="F12" s="40" t="s">
        <v>203</v>
      </c>
      <c r="G12" s="40" t="s">
        <v>14</v>
      </c>
      <c r="H12" s="40" t="s">
        <v>15</v>
      </c>
      <c r="I12" s="82" t="s">
        <v>35</v>
      </c>
      <c r="J12" s="56">
        <f>+D12/E12/D12</f>
        <v>1.6666666666666666E-3</v>
      </c>
      <c r="K12" s="29">
        <f>+'Mat y mano obra'!C4</f>
        <v>20142</v>
      </c>
      <c r="L12" s="47">
        <f>+K12*J12</f>
        <v>33.57</v>
      </c>
    </row>
    <row r="13" spans="2:12" x14ac:dyDescent="0.25">
      <c r="B13" s="44"/>
      <c r="C13" s="13" t="s">
        <v>49</v>
      </c>
      <c r="D13" s="40"/>
      <c r="E13" s="57"/>
      <c r="F13" s="40"/>
      <c r="G13" s="40"/>
      <c r="H13" s="40"/>
      <c r="I13" s="40" t="s">
        <v>26</v>
      </c>
      <c r="J13" s="56">
        <v>57</v>
      </c>
      <c r="K13" s="29"/>
      <c r="L13" s="47">
        <f>+(L10+L11+L12)*J13%</f>
        <v>137.85164999999998</v>
      </c>
    </row>
    <row r="14" spans="2:12" x14ac:dyDescent="0.25">
      <c r="B14" s="44"/>
      <c r="C14" s="13"/>
      <c r="D14" s="40"/>
      <c r="E14" s="57"/>
      <c r="F14" s="40"/>
      <c r="G14" s="40"/>
      <c r="H14" s="40"/>
      <c r="I14" s="40"/>
      <c r="J14" s="49"/>
      <c r="K14" s="29"/>
      <c r="L14" s="47"/>
    </row>
    <row r="15" spans="2:12" x14ac:dyDescent="0.25">
      <c r="B15" s="44"/>
      <c r="C15" s="13"/>
      <c r="D15" s="40"/>
      <c r="E15" s="57"/>
      <c r="F15" s="40"/>
      <c r="G15" s="40"/>
      <c r="H15" s="40"/>
      <c r="I15" s="40"/>
      <c r="J15" s="56"/>
      <c r="K15" s="29"/>
      <c r="L15" s="47"/>
    </row>
    <row r="16" spans="2:12" x14ac:dyDescent="0.25">
      <c r="B16" s="44"/>
      <c r="C16" s="13"/>
      <c r="D16" s="40"/>
      <c r="E16" s="57"/>
      <c r="F16" s="40"/>
      <c r="G16" s="40"/>
      <c r="H16" s="40"/>
      <c r="I16" s="40"/>
      <c r="J16" s="56"/>
      <c r="K16" s="58"/>
      <c r="L16" s="47"/>
    </row>
    <row r="17" spans="2:16" x14ac:dyDescent="0.25">
      <c r="B17" s="44"/>
      <c r="C17" s="13"/>
      <c r="D17" s="40"/>
      <c r="E17" s="57"/>
      <c r="F17" s="40"/>
      <c r="G17" s="40"/>
      <c r="H17" s="40"/>
      <c r="I17" s="40"/>
      <c r="J17" s="56"/>
      <c r="K17" s="29"/>
      <c r="L17" s="47"/>
    </row>
    <row r="18" spans="2:16" x14ac:dyDescent="0.25">
      <c r="B18" s="44"/>
      <c r="C18" s="13"/>
      <c r="D18" s="40"/>
      <c r="E18" s="57"/>
      <c r="F18" s="40"/>
      <c r="G18" s="40"/>
      <c r="H18" s="40"/>
      <c r="I18" s="40"/>
      <c r="J18" s="56"/>
      <c r="K18" s="29"/>
      <c r="L18" s="47"/>
    </row>
    <row r="19" spans="2:16" x14ac:dyDescent="0.25">
      <c r="B19" s="44"/>
      <c r="C19" s="13"/>
      <c r="D19" s="40"/>
      <c r="E19" s="57"/>
      <c r="F19" s="40"/>
      <c r="G19" s="40"/>
      <c r="H19" s="40"/>
      <c r="I19" s="40"/>
      <c r="J19" s="46"/>
      <c r="K19" s="290"/>
      <c r="L19" s="47"/>
    </row>
    <row r="20" spans="2:16" x14ac:dyDescent="0.25">
      <c r="B20" s="44"/>
      <c r="C20" s="13"/>
      <c r="D20" s="40"/>
      <c r="E20" s="57"/>
      <c r="F20" s="40"/>
      <c r="G20" s="40"/>
      <c r="H20" s="40"/>
      <c r="I20" s="40"/>
      <c r="J20" s="46"/>
      <c r="K20" s="290"/>
      <c r="L20" s="47"/>
    </row>
    <row r="21" spans="2:16" x14ac:dyDescent="0.25">
      <c r="B21" s="44"/>
      <c r="C21" s="13"/>
      <c r="D21" s="40"/>
      <c r="E21" s="57"/>
      <c r="F21" s="40"/>
      <c r="G21" s="40"/>
      <c r="H21" s="40"/>
      <c r="I21" s="40"/>
      <c r="J21" s="46"/>
      <c r="K21" s="290"/>
      <c r="L21" s="47"/>
    </row>
    <row r="22" spans="2:16" x14ac:dyDescent="0.25">
      <c r="B22" s="44"/>
      <c r="C22" s="13"/>
      <c r="D22" s="40"/>
      <c r="E22" s="57"/>
      <c r="F22" s="40"/>
      <c r="G22" s="40"/>
      <c r="H22" s="40"/>
      <c r="I22" s="40"/>
      <c r="J22" s="46"/>
      <c r="K22" s="290"/>
      <c r="L22" s="47"/>
    </row>
    <row r="23" spans="2:16" x14ac:dyDescent="0.25">
      <c r="B23" s="44"/>
      <c r="C23" s="13"/>
      <c r="D23" s="40"/>
      <c r="E23" s="57"/>
      <c r="F23" s="40"/>
      <c r="G23" s="40"/>
      <c r="H23" s="40"/>
      <c r="I23" s="40"/>
      <c r="J23" s="46"/>
      <c r="K23" s="290"/>
      <c r="L23" s="47"/>
    </row>
    <row r="24" spans="2:16" x14ac:dyDescent="0.25">
      <c r="B24" s="44"/>
      <c r="C24" s="13"/>
      <c r="D24" s="40"/>
      <c r="E24" s="57"/>
      <c r="F24" s="40"/>
      <c r="G24" s="40"/>
      <c r="H24" s="40"/>
      <c r="I24" s="40"/>
      <c r="J24" s="46"/>
      <c r="K24" s="290"/>
      <c r="L24" s="47"/>
    </row>
    <row r="25" spans="2:16" x14ac:dyDescent="0.25">
      <c r="B25" s="44"/>
      <c r="C25" s="13"/>
      <c r="D25" s="40"/>
      <c r="E25" s="57"/>
      <c r="F25" s="40"/>
      <c r="G25" s="40"/>
      <c r="H25" s="40"/>
      <c r="I25" s="40"/>
      <c r="J25" s="46"/>
      <c r="K25" s="290"/>
      <c r="L25" s="47"/>
    </row>
    <row r="26" spans="2:16" x14ac:dyDescent="0.25">
      <c r="B26" s="44"/>
      <c r="C26" s="13"/>
      <c r="D26" s="40"/>
      <c r="E26" s="57"/>
      <c r="F26" s="40"/>
      <c r="G26" s="40"/>
      <c r="H26" s="40"/>
      <c r="I26" s="40"/>
      <c r="J26" s="46"/>
      <c r="K26" s="290"/>
      <c r="L26" s="47"/>
      <c r="P26">
        <f>447000*0.3</f>
        <v>134100</v>
      </c>
    </row>
    <row r="27" spans="2:16" x14ac:dyDescent="0.25">
      <c r="B27" s="44"/>
      <c r="C27" s="13"/>
      <c r="D27" s="40"/>
      <c r="E27" s="57"/>
      <c r="F27" s="40"/>
      <c r="G27" s="40"/>
      <c r="H27" s="40"/>
      <c r="I27" s="40"/>
      <c r="J27" s="46"/>
      <c r="K27" s="290"/>
      <c r="L27" s="47"/>
      <c r="P27">
        <f>+P26/15</f>
        <v>8940</v>
      </c>
    </row>
    <row r="28" spans="2:16" ht="15.75" thickBot="1" x14ac:dyDescent="0.3">
      <c r="B28" s="50"/>
      <c r="C28" s="13"/>
      <c r="D28" s="52"/>
      <c r="E28" s="52"/>
      <c r="F28" s="52"/>
      <c r="G28" s="52"/>
      <c r="H28" s="52"/>
      <c r="I28" s="52"/>
      <c r="J28" s="53"/>
      <c r="K28" s="54"/>
      <c r="L28" s="55"/>
    </row>
  </sheetData>
  <mergeCells count="1">
    <mergeCell ref="F3:H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B2:P28"/>
  <sheetViews>
    <sheetView workbookViewId="0">
      <selection activeCell="L14" sqref="L14"/>
    </sheetView>
  </sheetViews>
  <sheetFormatPr baseColWidth="10" defaultRowHeight="15" x14ac:dyDescent="0.25"/>
  <cols>
    <col min="2" max="2" width="5.28515625" bestFit="1" customWidth="1"/>
    <col min="3" max="3" width="42.42578125" bestFit="1" customWidth="1"/>
    <col min="4" max="4" width="5.42578125" bestFit="1" customWidth="1"/>
    <col min="5" max="5" width="6.28515625" bestFit="1" customWidth="1"/>
    <col min="6" max="6" width="3.140625" bestFit="1" customWidth="1"/>
    <col min="7" max="7" width="1.8554687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6.5703125" bestFit="1" customWidth="1"/>
    <col min="12" max="12" width="9.5703125" bestFit="1" customWidth="1"/>
  </cols>
  <sheetData>
    <row r="2" spans="2:12" ht="15.75" thickBot="1" x14ac:dyDescent="0.3"/>
    <row r="3" spans="2:12" ht="15.75" thickBot="1" x14ac:dyDescent="0.3">
      <c r="B3" s="1" t="s">
        <v>0</v>
      </c>
      <c r="C3" s="2" t="s">
        <v>1</v>
      </c>
      <c r="D3" s="3" t="s">
        <v>2</v>
      </c>
      <c r="E3" s="4" t="s">
        <v>3</v>
      </c>
      <c r="F3" s="618" t="s">
        <v>4</v>
      </c>
      <c r="G3" s="619"/>
      <c r="H3" s="620"/>
      <c r="I3" s="2" t="s">
        <v>5</v>
      </c>
      <c r="J3" s="2" t="s">
        <v>6</v>
      </c>
      <c r="K3" s="2" t="s">
        <v>7</v>
      </c>
      <c r="L3" s="31" t="s">
        <v>8</v>
      </c>
    </row>
    <row r="4" spans="2:12" x14ac:dyDescent="0.25">
      <c r="B4" s="32"/>
      <c r="C4" s="33" t="s">
        <v>202</v>
      </c>
      <c r="D4" s="34"/>
      <c r="E4" s="59">
        <f>+rendimiento!C24</f>
        <v>105</v>
      </c>
      <c r="F4" s="34"/>
      <c r="G4" s="34"/>
      <c r="H4" s="34"/>
      <c r="I4" s="35" t="s">
        <v>203</v>
      </c>
      <c r="J4" s="35">
        <v>1</v>
      </c>
      <c r="K4" s="36"/>
      <c r="L4" s="37">
        <f>+SUM(L5:L28)</f>
        <v>5998.9390285714289</v>
      </c>
    </row>
    <row r="5" spans="2:12" x14ac:dyDescent="0.25">
      <c r="B5" s="38"/>
      <c r="D5" s="40"/>
      <c r="E5" s="40"/>
      <c r="F5" s="40"/>
      <c r="G5" s="40"/>
      <c r="H5" s="40"/>
      <c r="I5" s="41"/>
      <c r="J5" s="41"/>
      <c r="K5" s="29"/>
      <c r="L5" s="43"/>
    </row>
    <row r="6" spans="2:12" x14ac:dyDescent="0.25">
      <c r="B6" s="44"/>
      <c r="C6" s="18" t="s">
        <v>12</v>
      </c>
      <c r="D6" s="40"/>
      <c r="E6" s="40"/>
      <c r="F6" s="40"/>
      <c r="G6" s="40"/>
      <c r="H6" s="40"/>
      <c r="I6" s="40"/>
      <c r="J6" s="40"/>
      <c r="K6" s="29"/>
      <c r="L6" s="47"/>
    </row>
    <row r="7" spans="2:12" x14ac:dyDescent="0.25">
      <c r="B7" s="44"/>
      <c r="C7" s="13" t="s">
        <v>204</v>
      </c>
      <c r="D7" s="40"/>
      <c r="E7" s="40"/>
      <c r="F7" s="40"/>
      <c r="G7" s="40"/>
      <c r="H7" s="40"/>
      <c r="I7" s="40" t="s">
        <v>203</v>
      </c>
      <c r="J7" s="56">
        <v>1</v>
      </c>
      <c r="K7" s="29">
        <f>+'Mat y mano obra'!D39</f>
        <v>5300</v>
      </c>
      <c r="L7" s="47">
        <f>+K7*J7</f>
        <v>5300</v>
      </c>
    </row>
    <row r="8" spans="2:12" x14ac:dyDescent="0.25">
      <c r="B8" s="44"/>
      <c r="C8" s="13" t="s">
        <v>207</v>
      </c>
      <c r="D8" s="40"/>
      <c r="E8" s="40"/>
      <c r="F8" s="40"/>
      <c r="G8" s="40"/>
      <c r="H8" s="40"/>
      <c r="I8" s="40" t="s">
        <v>26</v>
      </c>
      <c r="J8" s="56">
        <v>5</v>
      </c>
      <c r="K8" s="29">
        <f>+L7*J8%</f>
        <v>265</v>
      </c>
      <c r="L8" s="47">
        <f>+K8</f>
        <v>265</v>
      </c>
    </row>
    <row r="9" spans="2:12" x14ac:dyDescent="0.25">
      <c r="B9" s="44"/>
      <c r="C9" s="21" t="s">
        <v>28</v>
      </c>
      <c r="D9" s="40"/>
      <c r="E9" s="40"/>
      <c r="F9" s="40"/>
      <c r="G9" s="40"/>
      <c r="H9" s="40"/>
      <c r="I9" s="40"/>
      <c r="J9" s="56"/>
      <c r="K9" s="58"/>
      <c r="L9" s="47"/>
    </row>
    <row r="10" spans="2:12" x14ac:dyDescent="0.25">
      <c r="B10" s="44"/>
      <c r="C10" s="13" t="s">
        <v>205</v>
      </c>
      <c r="D10" s="40">
        <v>1</v>
      </c>
      <c r="E10" s="40">
        <f>+E4</f>
        <v>105</v>
      </c>
      <c r="F10" s="40" t="s">
        <v>203</v>
      </c>
      <c r="G10" s="40" t="s">
        <v>14</v>
      </c>
      <c r="H10" s="40" t="s">
        <v>15</v>
      </c>
      <c r="I10" s="82" t="s">
        <v>15</v>
      </c>
      <c r="J10" s="56">
        <f>+D10/E10/D10</f>
        <v>9.5238095238095247E-3</v>
      </c>
      <c r="K10" s="58">
        <f>+'Mat y mano obra'!D8</f>
        <v>10187</v>
      </c>
      <c r="L10" s="47">
        <f>+K10*J10</f>
        <v>97.019047619047626</v>
      </c>
    </row>
    <row r="11" spans="2:12" x14ac:dyDescent="0.25">
      <c r="B11" s="44"/>
      <c r="C11" s="13" t="s">
        <v>206</v>
      </c>
      <c r="D11" s="40">
        <v>1</v>
      </c>
      <c r="E11" s="40">
        <f>+E4</f>
        <v>105</v>
      </c>
      <c r="F11" s="40" t="s">
        <v>203</v>
      </c>
      <c r="G11" s="40" t="s">
        <v>14</v>
      </c>
      <c r="H11" s="40" t="s">
        <v>15</v>
      </c>
      <c r="I11" s="82" t="s">
        <v>35</v>
      </c>
      <c r="J11" s="56">
        <f>+D11/E11/D11</f>
        <v>9.5238095238095247E-3</v>
      </c>
      <c r="K11" s="29">
        <f>+'Mat y mano obra'!C5</f>
        <v>14806</v>
      </c>
      <c r="L11" s="47">
        <f>+K11*J11</f>
        <v>141.00952380952381</v>
      </c>
    </row>
    <row r="12" spans="2:12" x14ac:dyDescent="0.25">
      <c r="B12" s="44"/>
      <c r="C12" s="13" t="s">
        <v>37</v>
      </c>
      <c r="D12" s="40">
        <v>5</v>
      </c>
      <c r="E12" s="57">
        <f>+E4*D12</f>
        <v>525</v>
      </c>
      <c r="F12" s="40" t="s">
        <v>203</v>
      </c>
      <c r="G12" s="40" t="s">
        <v>14</v>
      </c>
      <c r="H12" s="40" t="s">
        <v>15</v>
      </c>
      <c r="I12" s="82" t="s">
        <v>35</v>
      </c>
      <c r="J12" s="56">
        <f>+D12/E12/D12</f>
        <v>1.904761904761905E-3</v>
      </c>
      <c r="K12" s="29">
        <f>+'Mat y mano obra'!C4</f>
        <v>20142</v>
      </c>
      <c r="L12" s="47">
        <f>+K12*J12</f>
        <v>38.36571428571429</v>
      </c>
    </row>
    <row r="13" spans="2:12" x14ac:dyDescent="0.25">
      <c r="B13" s="44"/>
      <c r="C13" s="13" t="s">
        <v>49</v>
      </c>
      <c r="D13" s="40"/>
      <c r="E13" s="57"/>
      <c r="F13" s="40"/>
      <c r="G13" s="40"/>
      <c r="H13" s="40"/>
      <c r="I13" s="40" t="s">
        <v>26</v>
      </c>
      <c r="J13" s="56">
        <v>57</v>
      </c>
      <c r="K13" s="29"/>
      <c r="L13" s="47">
        <f>+(L10+L11+L12)*J13%</f>
        <v>157.54474285714286</v>
      </c>
    </row>
    <row r="14" spans="2:12" x14ac:dyDescent="0.25">
      <c r="B14" s="44"/>
      <c r="C14" s="13"/>
      <c r="D14" s="40"/>
      <c r="E14" s="57"/>
      <c r="F14" s="40"/>
      <c r="G14" s="40"/>
      <c r="H14" s="40"/>
      <c r="I14" s="40"/>
      <c r="J14" s="49"/>
      <c r="K14" s="29"/>
      <c r="L14" s="47"/>
    </row>
    <row r="15" spans="2:12" x14ac:dyDescent="0.25">
      <c r="B15" s="44"/>
      <c r="C15" s="13"/>
      <c r="D15" s="40"/>
      <c r="E15" s="57"/>
      <c r="F15" s="40"/>
      <c r="G15" s="40"/>
      <c r="H15" s="40"/>
      <c r="I15" s="40"/>
      <c r="J15" s="56"/>
      <c r="K15" s="29"/>
      <c r="L15" s="47"/>
    </row>
    <row r="16" spans="2:12" x14ac:dyDescent="0.25">
      <c r="B16" s="44"/>
      <c r="C16" s="13"/>
      <c r="D16" s="40"/>
      <c r="E16" s="57"/>
      <c r="F16" s="40"/>
      <c r="G16" s="40"/>
      <c r="H16" s="40"/>
      <c r="I16" s="40"/>
      <c r="J16" s="56"/>
      <c r="K16" s="58"/>
      <c r="L16" s="47"/>
    </row>
    <row r="17" spans="2:16" x14ac:dyDescent="0.25">
      <c r="B17" s="44"/>
      <c r="C17" s="13"/>
      <c r="D17" s="40"/>
      <c r="E17" s="57"/>
      <c r="F17" s="40"/>
      <c r="G17" s="40"/>
      <c r="H17" s="40"/>
      <c r="I17" s="40"/>
      <c r="J17" s="56"/>
      <c r="K17" s="29"/>
      <c r="L17" s="47"/>
    </row>
    <row r="18" spans="2:16" x14ac:dyDescent="0.25">
      <c r="B18" s="44"/>
      <c r="C18" s="13"/>
      <c r="D18" s="40"/>
      <c r="E18" s="57"/>
      <c r="F18" s="40"/>
      <c r="G18" s="40"/>
      <c r="H18" s="40"/>
      <c r="I18" s="40"/>
      <c r="J18" s="56"/>
      <c r="K18" s="29"/>
      <c r="L18" s="47"/>
    </row>
    <row r="19" spans="2:16" x14ac:dyDescent="0.25">
      <c r="B19" s="44"/>
      <c r="C19" s="13"/>
      <c r="D19" s="40"/>
      <c r="E19" s="57"/>
      <c r="F19" s="40"/>
      <c r="G19" s="40"/>
      <c r="H19" s="40"/>
      <c r="I19" s="40"/>
      <c r="J19" s="46"/>
      <c r="K19" s="290"/>
      <c r="L19" s="47"/>
    </row>
    <row r="20" spans="2:16" x14ac:dyDescent="0.25">
      <c r="B20" s="44"/>
      <c r="C20" s="13"/>
      <c r="D20" s="40"/>
      <c r="E20" s="57"/>
      <c r="F20" s="40"/>
      <c r="G20" s="40"/>
      <c r="H20" s="40"/>
      <c r="I20" s="40"/>
      <c r="J20" s="46"/>
      <c r="K20" s="290"/>
      <c r="L20" s="47"/>
    </row>
    <row r="21" spans="2:16" x14ac:dyDescent="0.25">
      <c r="B21" s="44"/>
      <c r="C21" s="13"/>
      <c r="D21" s="40"/>
      <c r="E21" s="57"/>
      <c r="F21" s="40"/>
      <c r="G21" s="40"/>
      <c r="H21" s="40"/>
      <c r="I21" s="40"/>
      <c r="J21" s="46"/>
      <c r="K21" s="290"/>
      <c r="L21" s="47"/>
    </row>
    <row r="22" spans="2:16" x14ac:dyDescent="0.25">
      <c r="B22" s="44"/>
      <c r="C22" s="13"/>
      <c r="D22" s="40"/>
      <c r="E22" s="57"/>
      <c r="F22" s="40"/>
      <c r="G22" s="40"/>
      <c r="H22" s="40"/>
      <c r="I22" s="40"/>
      <c r="J22" s="46"/>
      <c r="K22" s="290"/>
      <c r="L22" s="47"/>
    </row>
    <row r="23" spans="2:16" x14ac:dyDescent="0.25">
      <c r="B23" s="44"/>
      <c r="C23" s="13"/>
      <c r="D23" s="40"/>
      <c r="E23" s="57"/>
      <c r="F23" s="40"/>
      <c r="G23" s="40"/>
      <c r="H23" s="40"/>
      <c r="I23" s="40"/>
      <c r="J23" s="46"/>
      <c r="K23" s="290"/>
      <c r="L23" s="47"/>
    </row>
    <row r="24" spans="2:16" x14ac:dyDescent="0.25">
      <c r="B24" s="44"/>
      <c r="C24" s="13"/>
      <c r="D24" s="40"/>
      <c r="E24" s="57"/>
      <c r="F24" s="40"/>
      <c r="G24" s="40"/>
      <c r="H24" s="40"/>
      <c r="I24" s="40"/>
      <c r="J24" s="46"/>
      <c r="K24" s="290"/>
      <c r="L24" s="47"/>
    </row>
    <row r="25" spans="2:16" x14ac:dyDescent="0.25">
      <c r="B25" s="44"/>
      <c r="C25" s="13"/>
      <c r="D25" s="40"/>
      <c r="E25" s="57"/>
      <c r="F25" s="40"/>
      <c r="G25" s="40"/>
      <c r="H25" s="40"/>
      <c r="I25" s="40"/>
      <c r="J25" s="46"/>
      <c r="K25" s="290"/>
      <c r="L25" s="47"/>
    </row>
    <row r="26" spans="2:16" x14ac:dyDescent="0.25">
      <c r="B26" s="44"/>
      <c r="C26" s="13"/>
      <c r="D26" s="40"/>
      <c r="E26" s="57"/>
      <c r="F26" s="40"/>
      <c r="G26" s="40"/>
      <c r="H26" s="40"/>
      <c r="I26" s="40"/>
      <c r="J26" s="46"/>
      <c r="K26" s="290"/>
      <c r="L26" s="47"/>
      <c r="P26">
        <f>447000*0.3</f>
        <v>134100</v>
      </c>
    </row>
    <row r="27" spans="2:16" x14ac:dyDescent="0.25">
      <c r="B27" s="44"/>
      <c r="C27" s="13"/>
      <c r="D27" s="40"/>
      <c r="E27" s="57"/>
      <c r="F27" s="40"/>
      <c r="G27" s="40"/>
      <c r="H27" s="40"/>
      <c r="I27" s="40"/>
      <c r="J27" s="46"/>
      <c r="K27" s="290"/>
      <c r="L27" s="47"/>
      <c r="P27">
        <f>+P26/15</f>
        <v>8940</v>
      </c>
    </row>
    <row r="28" spans="2:16" ht="15.75" thickBot="1" x14ac:dyDescent="0.3">
      <c r="B28" s="50"/>
      <c r="C28" s="13"/>
      <c r="D28" s="52"/>
      <c r="E28" s="52"/>
      <c r="F28" s="52"/>
      <c r="G28" s="52"/>
      <c r="H28" s="52"/>
      <c r="I28" s="52"/>
      <c r="J28" s="53"/>
      <c r="K28" s="54"/>
      <c r="L28" s="55"/>
    </row>
  </sheetData>
  <mergeCells count="1">
    <mergeCell ref="F3: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B2:C34"/>
  <sheetViews>
    <sheetView workbookViewId="0">
      <selection activeCell="F34" sqref="D3:F34"/>
    </sheetView>
  </sheetViews>
  <sheetFormatPr baseColWidth="10" defaultRowHeight="15" x14ac:dyDescent="0.25"/>
  <cols>
    <col min="2" max="2" width="7" bestFit="1" customWidth="1"/>
    <col min="3" max="3" width="81.140625" bestFit="1" customWidth="1"/>
    <col min="4" max="4" width="10.7109375" bestFit="1" customWidth="1"/>
    <col min="5" max="5" width="8" bestFit="1" customWidth="1"/>
    <col min="6" max="6" width="7.85546875" customWidth="1"/>
  </cols>
  <sheetData>
    <row r="2" spans="2:3" ht="15.75" thickBot="1" x14ac:dyDescent="0.3"/>
    <row r="3" spans="2:3" ht="19.5" thickBot="1" x14ac:dyDescent="0.3">
      <c r="B3" s="307" t="s">
        <v>185</v>
      </c>
      <c r="C3" s="308" t="s">
        <v>1</v>
      </c>
    </row>
    <row r="4" spans="2:3" x14ac:dyDescent="0.25">
      <c r="B4" s="294"/>
      <c r="C4" s="311" t="str">
        <f>+'NO BORRAR'!C4</f>
        <v>EMPLANTILLADO (4 SACOS/m3) :</v>
      </c>
    </row>
    <row r="5" spans="2:3" x14ac:dyDescent="0.25">
      <c r="B5" s="295"/>
      <c r="C5" s="312" t="str">
        <f>+'NO BORRAR'!C5</f>
        <v xml:space="preserve">HORMIGONADO  H20 CONTROLADO </v>
      </c>
    </row>
    <row r="6" spans="2:3" ht="15.75" thickBot="1" x14ac:dyDescent="0.3">
      <c r="B6" s="296"/>
      <c r="C6" s="313" t="str">
        <f>+'NO BORRAR'!C6</f>
        <v>HORMIGONADO H25 CONTROLADO</v>
      </c>
    </row>
    <row r="7" spans="2:3" x14ac:dyDescent="0.25">
      <c r="B7" s="294"/>
      <c r="C7" s="311" t="str">
        <f>+'NO BORRAR'!C8</f>
        <v>ACERO A - 44 - 28 Ø 8 - Ø 10 mm</v>
      </c>
    </row>
    <row r="8" spans="2:3" x14ac:dyDescent="0.25">
      <c r="B8" s="295"/>
      <c r="C8" s="312" t="str">
        <f>+'NO BORRAR'!C9</f>
        <v>ACERO A - 44 - 28 Ø 12 mm</v>
      </c>
    </row>
    <row r="9" spans="2:3" x14ac:dyDescent="0.25">
      <c r="B9" s="295"/>
      <c r="C9" s="312" t="str">
        <f>+'NO BORRAR'!C10</f>
        <v>ACERO A - 44 - 28 Ø 18 mm</v>
      </c>
    </row>
    <row r="10" spans="2:3" x14ac:dyDescent="0.25">
      <c r="B10" s="295"/>
      <c r="C10" s="312" t="str">
        <f>+'NO BORRAR'!C11</f>
        <v>ACERO A - 44 - 28 Ø 22 mm</v>
      </c>
    </row>
    <row r="11" spans="2:3" x14ac:dyDescent="0.25">
      <c r="B11" s="295"/>
      <c r="C11" s="312" t="str">
        <f>+'NO BORRAR'!C12</f>
        <v>ACERO A - 63-42 Ø 8 - Ø 10 mm</v>
      </c>
    </row>
    <row r="12" spans="2:3" x14ac:dyDescent="0.25">
      <c r="B12" s="295"/>
      <c r="C12" s="312" t="str">
        <f>+'NO BORRAR'!C13</f>
        <v>ACERO A - 63-42 Ø 12 mm</v>
      </c>
    </row>
    <row r="13" spans="2:3" x14ac:dyDescent="0.25">
      <c r="B13" s="295"/>
      <c r="C13" s="312" t="str">
        <f>+'NO BORRAR'!C14</f>
        <v>ACERO A - 63-42 Ø 18 mm</v>
      </c>
    </row>
    <row r="14" spans="2:3" x14ac:dyDescent="0.25">
      <c r="B14" s="295"/>
      <c r="C14" s="312" t="str">
        <f>+'NO BORRAR'!C15</f>
        <v>ACERO A - 63-42 Ø 22 mm</v>
      </c>
    </row>
    <row r="15" spans="2:3" x14ac:dyDescent="0.25">
      <c r="B15" s="295"/>
      <c r="C15" s="312" t="str">
        <f>+'NO BORRAR'!C16</f>
        <v xml:space="preserve">MALLA ACMA C-92 (2,6 x 5 m) </v>
      </c>
    </row>
    <row r="16" spans="2:3" x14ac:dyDescent="0.25">
      <c r="B16" s="295"/>
      <c r="C16" s="312" t="str">
        <f>+'NO BORRAR'!C17</f>
        <v xml:space="preserve">MALLA ACMA C-139 (2,6 x 5 m) </v>
      </c>
    </row>
    <row r="17" spans="2:3" x14ac:dyDescent="0.25">
      <c r="B17" s="295"/>
      <c r="C17" s="312" t="str">
        <f>+'NO BORRAR'!C18</f>
        <v>MALLA ACMA C-188 (2,6 x 5 m) 28.34 kg</v>
      </c>
    </row>
    <row r="18" spans="2:3" x14ac:dyDescent="0.25">
      <c r="B18" s="295"/>
      <c r="C18" s="312" t="str">
        <f>+'NO BORRAR'!C19</f>
        <v>MALLA ACMA C-196 (2,6 x 5 m)</v>
      </c>
    </row>
    <row r="19" spans="2:3" ht="15.75" thickBot="1" x14ac:dyDescent="0.3">
      <c r="B19" s="296"/>
      <c r="C19" s="313" t="str">
        <f>+'NO BORRAR'!C20</f>
        <v>MALLA ACMA C-257 (2,6 x 5 m)</v>
      </c>
    </row>
    <row r="20" spans="2:3" x14ac:dyDescent="0.25">
      <c r="B20" s="294"/>
      <c r="C20" s="311" t="str">
        <f>+'NO BORRAR'!C21</f>
        <v>MOLDAJE TABLERO (3 USOS) MUROS</v>
      </c>
    </row>
    <row r="21" spans="2:3" ht="15.75" thickBot="1" x14ac:dyDescent="0.3">
      <c r="B21" s="296"/>
      <c r="C21" s="313" t="str">
        <f>+'NO BORRAR'!C22</f>
        <v>MOLDAJE TABLERO (1 USO) MUROS</v>
      </c>
    </row>
    <row r="22" spans="2:3" x14ac:dyDescent="0.25">
      <c r="B22" s="314"/>
      <c r="C22" s="315" t="str">
        <f>+'NO BORRAR'!C24</f>
        <v>EXCAVACION CON MAQUINA</v>
      </c>
    </row>
    <row r="23" spans="2:3" x14ac:dyDescent="0.25">
      <c r="B23" s="295"/>
      <c r="C23" s="312" t="str">
        <f>+'NO BORRAR'!C25</f>
        <v>EXCAVACION A MANO (terreno semi-blando)</v>
      </c>
    </row>
    <row r="24" spans="2:3" x14ac:dyDescent="0.25">
      <c r="B24" s="295"/>
      <c r="C24" s="312" t="str">
        <f>+'NO BORRAR'!C26</f>
        <v>EXCAVACION A MANO (terreno Semi-Duro)</v>
      </c>
    </row>
    <row r="25" spans="2:3" x14ac:dyDescent="0.25">
      <c r="B25" s="295"/>
      <c r="C25" s="312" t="str">
        <f>+'NO BORRAR'!C27</f>
        <v>RELLENO ESTRUCTURAL  MANUAL  POR CAPAS</v>
      </c>
    </row>
    <row r="26" spans="2:3" x14ac:dyDescent="0.25">
      <c r="B26" s="295"/>
      <c r="C26" s="312" t="str">
        <f>+'NO BORRAR'!C28</f>
        <v>MEJORAMIENTO BASE CON GRAVILLA 3/4</v>
      </c>
    </row>
    <row r="27" spans="2:3" x14ac:dyDescent="0.25">
      <c r="B27" s="295"/>
      <c r="C27" s="312" t="str">
        <f>+'NO BORRAR'!C29</f>
        <v xml:space="preserve">ESCARPE  CON MAQUINA </v>
      </c>
    </row>
    <row r="28" spans="2:3" x14ac:dyDescent="0.25">
      <c r="B28" s="295"/>
      <c r="C28" s="312" t="str">
        <f>+'NO BORRAR'!C30</f>
        <v>SELECCION MATERIAL Y ACOPIO PARA DE TERRAPLENES:</v>
      </c>
    </row>
    <row r="29" spans="2:3" x14ac:dyDescent="0.25">
      <c r="B29" s="295"/>
      <c r="C29" s="312" t="str">
        <f>+'NO BORRAR'!C31</f>
        <v>COLOCACION Y DISTRIBUCION  DE MATERIAL CON BULLDOZER (para terraplenes menores)</v>
      </c>
    </row>
    <row r="30" spans="2:3" x14ac:dyDescent="0.25">
      <c r="B30" s="295"/>
      <c r="C30" s="312" t="str">
        <f>+'NO BORRAR'!C32</f>
        <v>COLOCACION DE MATERIAL PARA TERRAPLENES CON CAMION TOLVA</v>
      </c>
    </row>
    <row r="31" spans="2:3" x14ac:dyDescent="0.25">
      <c r="B31" s="295"/>
      <c r="C31" s="312" t="str">
        <f>+'NO BORRAR'!C33</f>
        <v>COLOCACION  Y DISTRIBUCIÓN DE MATERIAL PARA TERRAPLENES CON BULLDOZER</v>
      </c>
    </row>
    <row r="32" spans="2:3" x14ac:dyDescent="0.25">
      <c r="B32" s="295"/>
      <c r="C32" s="312" t="str">
        <f>+'NO BORRAR'!C34</f>
        <v>COMPACTACION RODILLADA DE TERRAPLENES POR CAPAS CONTROLADAS</v>
      </c>
    </row>
    <row r="33" spans="2:3" x14ac:dyDescent="0.25">
      <c r="B33" s="295"/>
      <c r="C33" s="312" t="str">
        <f>+'NO BORRAR'!C35</f>
        <v>TRANSPORTE A BOTADERO (5 km)</v>
      </c>
    </row>
    <row r="34" spans="2:3" ht="15.75" thickBot="1" x14ac:dyDescent="0.3">
      <c r="B34" s="296"/>
      <c r="C34" s="313" t="str">
        <f>+'NO BORRAR'!C36</f>
        <v>MANEJO DE BOTADERO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/>
  <dimension ref="A1:H38"/>
  <sheetViews>
    <sheetView workbookViewId="0">
      <selection activeCell="F33" sqref="F33"/>
    </sheetView>
  </sheetViews>
  <sheetFormatPr baseColWidth="10" defaultRowHeight="15" x14ac:dyDescent="0.25"/>
  <cols>
    <col min="1" max="1" width="11.42578125" customWidth="1"/>
    <col min="2" max="2" width="7" customWidth="1"/>
    <col min="3" max="3" width="47.5703125" style="298" customWidth="1"/>
    <col min="4" max="4" width="10.7109375" customWidth="1"/>
    <col min="5" max="5" width="11.42578125" customWidth="1"/>
    <col min="6" max="6" width="10.5703125" customWidth="1"/>
    <col min="7" max="7" width="11.42578125" customWidth="1"/>
  </cols>
  <sheetData>
    <row r="1" spans="1:8" ht="15.75" thickBot="1" x14ac:dyDescent="0.3">
      <c r="C1" s="297"/>
    </row>
    <row r="2" spans="1:8" ht="15.75" customHeight="1" thickBot="1" x14ac:dyDescent="0.3">
      <c r="A2" s="298">
        <v>24063.5</v>
      </c>
      <c r="C2" s="297"/>
      <c r="E2" s="675" t="s">
        <v>209</v>
      </c>
      <c r="F2" s="676"/>
    </row>
    <row r="3" spans="1:8" ht="19.5" thickBot="1" x14ac:dyDescent="0.3">
      <c r="B3" s="299" t="s">
        <v>185</v>
      </c>
      <c r="C3" s="300" t="s">
        <v>1</v>
      </c>
      <c r="D3" s="301" t="s">
        <v>5</v>
      </c>
      <c r="E3" s="310" t="s">
        <v>190</v>
      </c>
      <c r="F3" s="309" t="s">
        <v>191</v>
      </c>
    </row>
    <row r="4" spans="1:8" ht="17.25" x14ac:dyDescent="0.25">
      <c r="B4" s="303"/>
      <c r="C4" s="304" t="str">
        <f>+'Hormigón $max'!C4</f>
        <v>EMPLANTILLADO (4 SACOS/m3) :</v>
      </c>
      <c r="D4" s="336" t="s">
        <v>231</v>
      </c>
      <c r="E4" s="341">
        <v>73409</v>
      </c>
      <c r="F4" s="341">
        <v>85827</v>
      </c>
      <c r="G4">
        <f>+('APU DT-18'!$C$16/'NO BORRAR'!$A$2)*'NO BORRAR'!E4</f>
        <v>73617.511029152025</v>
      </c>
      <c r="H4">
        <f>+('APU DT-18'!$C$16/'NO BORRAR'!$A$2)*'NO BORRAR'!F4</f>
        <v>86070.783134207406</v>
      </c>
    </row>
    <row r="5" spans="1:8" ht="17.25" x14ac:dyDescent="0.25">
      <c r="B5" s="292"/>
      <c r="C5" s="305" t="str">
        <f>+'Hormigón $max'!C28</f>
        <v xml:space="preserve">HORMIGONADO  H20 CONTROLADO </v>
      </c>
      <c r="D5" s="337" t="s">
        <v>231</v>
      </c>
      <c r="E5" s="341">
        <v>113280</v>
      </c>
      <c r="F5" s="341">
        <v>131204</v>
      </c>
      <c r="G5">
        <f>+('APU DT-18'!$C$16/'NO BORRAR'!$A$2)*'NO BORRAR'!E5</f>
        <v>113601.76067488104</v>
      </c>
      <c r="H5">
        <f>+('APU DT-18'!$C$16/'NO BORRAR'!$A$2)*'NO BORRAR'!F5</f>
        <v>131576.67203025328</v>
      </c>
    </row>
    <row r="6" spans="1:8" ht="17.25" x14ac:dyDescent="0.25">
      <c r="B6" s="292"/>
      <c r="C6" s="305" t="str">
        <f>+'Hormigón $max'!C56</f>
        <v>HORMIGONADO H25 CONTROLADO</v>
      </c>
      <c r="D6" s="337" t="s">
        <v>231</v>
      </c>
      <c r="E6" s="341">
        <v>118044</v>
      </c>
      <c r="F6" s="341">
        <v>134525</v>
      </c>
      <c r="G6">
        <f>+('APU DT-18'!$C$16/'NO BORRAR'!$A$2)*'NO BORRAR'!E6</f>
        <v>118379.29234733101</v>
      </c>
      <c r="H6">
        <f>+('APU DT-18'!$C$16/'NO BORRAR'!$A$2)*'NO BORRAR'!F6</f>
        <v>134907.10500342841</v>
      </c>
    </row>
    <row r="7" spans="1:8" ht="17.25" x14ac:dyDescent="0.25">
      <c r="C7" s="33" t="s">
        <v>201</v>
      </c>
      <c r="D7" s="340" t="s">
        <v>231</v>
      </c>
      <c r="E7" s="341">
        <v>123732</v>
      </c>
      <c r="F7" s="341">
        <v>142868</v>
      </c>
      <c r="G7">
        <f>+('APU DT-18'!$C$16/'NO BORRAR'!$A$2)*'NO BORRAR'!E7</f>
        <v>124083.44855070957</v>
      </c>
      <c r="H7">
        <f>+('APU DT-18'!$C$16/'NO BORRAR'!$A$2)*'NO BORRAR'!F7</f>
        <v>143273.80247262449</v>
      </c>
    </row>
    <row r="8" spans="1:8" x14ac:dyDescent="0.25">
      <c r="B8" s="292"/>
      <c r="C8" s="305" t="str">
        <f>+'Acero $max'!C4</f>
        <v>ACERO A - 44 - 28 Ø 8 - Ø 10 mm</v>
      </c>
      <c r="D8" s="337" t="s">
        <v>44</v>
      </c>
      <c r="E8" s="341">
        <v>2318</v>
      </c>
      <c r="F8" s="341">
        <v>2508</v>
      </c>
      <c r="G8">
        <f>+('APU DT-18'!$C$16/'NO BORRAR'!$A$2)*'NO BORRAR'!E8</f>
        <v>2324.5840505329647</v>
      </c>
      <c r="H8">
        <f>+('APU DT-18'!$C$16/'NO BORRAR'!$A$2)*'NO BORRAR'!F8</f>
        <v>2515.1237268061586</v>
      </c>
    </row>
    <row r="9" spans="1:8" x14ac:dyDescent="0.25">
      <c r="B9" s="292"/>
      <c r="C9" s="305" t="str">
        <f>+'Acero $max'!C18</f>
        <v>ACERO A - 44 - 28 Ø 12 mm</v>
      </c>
      <c r="D9" s="337" t="s">
        <v>44</v>
      </c>
      <c r="E9" s="341">
        <v>2432</v>
      </c>
      <c r="F9" s="341">
        <v>2640</v>
      </c>
      <c r="G9">
        <f>+('APU DT-18'!$C$16/'NO BORRAR'!$A$2)*'NO BORRAR'!E9</f>
        <v>2438.9078562968812</v>
      </c>
      <c r="H9">
        <f>+('APU DT-18'!$C$16/'NO BORRAR'!$A$2)*'NO BORRAR'!F9</f>
        <v>2647.4986597959564</v>
      </c>
    </row>
    <row r="10" spans="1:8" x14ac:dyDescent="0.25">
      <c r="B10" s="292"/>
      <c r="C10" s="305" t="str">
        <f>+'Acero $max'!C32</f>
        <v>ACERO A - 44 - 28 Ø 18 mm</v>
      </c>
      <c r="D10" s="337" t="s">
        <v>44</v>
      </c>
      <c r="E10" s="341">
        <v>2855</v>
      </c>
      <c r="F10" s="341">
        <v>3125</v>
      </c>
      <c r="G10">
        <f>+('APU DT-18'!$C$16/'NO BORRAR'!$A$2)*'NO BORRAR'!E10</f>
        <v>2863.1093461050968</v>
      </c>
      <c r="H10">
        <f>+('APU DT-18'!$C$16/'NO BORRAR'!$A$2)*'NO BORRAR'!F10</f>
        <v>3133.8762544933197</v>
      </c>
    </row>
    <row r="11" spans="1:8" x14ac:dyDescent="0.25">
      <c r="B11" s="292"/>
      <c r="C11" s="305" t="str">
        <f>+'Acero $max'!C46</f>
        <v>ACERO A - 44 - 28 Ø 22 mm</v>
      </c>
      <c r="D11" s="337" t="s">
        <v>44</v>
      </c>
      <c r="E11" s="341">
        <v>3155</v>
      </c>
      <c r="F11" s="341">
        <v>3424</v>
      </c>
      <c r="G11">
        <f>+('APU DT-18'!$C$16/'NO BORRAR'!$A$2)*'NO BORRAR'!E11</f>
        <v>3163.9614665364552</v>
      </c>
      <c r="H11">
        <f>+('APU DT-18'!$C$16/'NO BORRAR'!$A$2)*'NO BORRAR'!F11</f>
        <v>3433.7255345232402</v>
      </c>
    </row>
    <row r="12" spans="1:8" x14ac:dyDescent="0.25">
      <c r="B12" s="292"/>
      <c r="C12" s="305" t="str">
        <f>+'Acero $max'!C60</f>
        <v>ACERO A - 63-42 Ø 8 - Ø 10 mm</v>
      </c>
      <c r="D12" s="337" t="s">
        <v>44</v>
      </c>
      <c r="E12" s="341">
        <v>2432</v>
      </c>
      <c r="F12" s="341">
        <v>2635</v>
      </c>
      <c r="G12">
        <f>+('APU DT-18'!$C$16/'NO BORRAR'!$A$2)*'NO BORRAR'!E12</f>
        <v>2438.9078562968812</v>
      </c>
      <c r="H12">
        <f>+('APU DT-18'!$C$16/'NO BORRAR'!$A$2)*'NO BORRAR'!F12</f>
        <v>2642.484457788767</v>
      </c>
    </row>
    <row r="13" spans="1:8" x14ac:dyDescent="0.25">
      <c r="B13" s="292"/>
      <c r="C13" s="305" t="str">
        <f>+'Acero $max'!C74</f>
        <v>ACERO A - 63-42 Ø 12 mm</v>
      </c>
      <c r="D13" s="337" t="s">
        <v>44</v>
      </c>
      <c r="E13" s="341">
        <v>2499</v>
      </c>
      <c r="F13" s="341">
        <v>2730</v>
      </c>
      <c r="G13">
        <f>+('APU DT-18'!$C$16/'NO BORRAR'!$A$2)*'NO BORRAR'!E13</f>
        <v>2506.0981631932177</v>
      </c>
      <c r="H13">
        <f>+('APU DT-18'!$C$16/'NO BORRAR'!$A$2)*'NO BORRAR'!F13</f>
        <v>2737.7542959253637</v>
      </c>
    </row>
    <row r="14" spans="1:8" x14ac:dyDescent="0.25">
      <c r="B14" s="292"/>
      <c r="C14" s="305" t="str">
        <f>+'Acero $max'!C88</f>
        <v>ACERO A - 63-42 Ø 18 mm</v>
      </c>
      <c r="D14" s="337" t="s">
        <v>44</v>
      </c>
      <c r="E14" s="341">
        <v>2861</v>
      </c>
      <c r="F14" s="341">
        <v>3138</v>
      </c>
      <c r="G14">
        <f>+('APU DT-18'!$C$16/'NO BORRAR'!$A$2)*'NO BORRAR'!E14</f>
        <v>2869.1263885137237</v>
      </c>
      <c r="H14">
        <f>+('APU DT-18'!$C$16/'NO BORRAR'!$A$2)*'NO BORRAR'!F14</f>
        <v>3146.9131797120117</v>
      </c>
    </row>
    <row r="15" spans="1:8" x14ac:dyDescent="0.25">
      <c r="B15" s="292"/>
      <c r="C15" s="305" t="str">
        <f>+'Acero $max'!C102</f>
        <v>ACERO A - 63-42 Ø 22 mm</v>
      </c>
      <c r="D15" s="337" t="s">
        <v>44</v>
      </c>
      <c r="E15" s="341">
        <v>3121</v>
      </c>
      <c r="F15" s="341">
        <v>3437</v>
      </c>
      <c r="G15">
        <f>+('APU DT-18'!$C$16/'NO BORRAR'!$A$2)*'NO BORRAR'!E15</f>
        <v>3129.8648928875682</v>
      </c>
      <c r="H15">
        <f>+('APU DT-18'!$C$16/'NO BORRAR'!$A$2)*'NO BORRAR'!F15</f>
        <v>3446.7624597419326</v>
      </c>
    </row>
    <row r="16" spans="1:8" ht="17.25" x14ac:dyDescent="0.25">
      <c r="B16" s="292"/>
      <c r="C16" s="305" t="str">
        <f>+'Acero $max'!C116</f>
        <v xml:space="preserve">MALLA ACMA C-92 (2,6 x 5 m) </v>
      </c>
      <c r="D16" s="337" t="s">
        <v>232</v>
      </c>
      <c r="E16" s="341">
        <v>3693</v>
      </c>
      <c r="F16" s="341">
        <v>4151</v>
      </c>
      <c r="G16">
        <f>+('APU DT-18'!$C$16/'NO BORRAR'!$A$2)*'NO BORRAR'!E16</f>
        <v>3703.4896025100252</v>
      </c>
      <c r="H16">
        <f>+('APU DT-18'!$C$16/'NO BORRAR'!$A$2)*'NO BORRAR'!F16</f>
        <v>4162.7905063685657</v>
      </c>
    </row>
    <row r="17" spans="2:8" ht="17.25" x14ac:dyDescent="0.25">
      <c r="B17" s="292"/>
      <c r="C17" s="305" t="str">
        <f>+'Acero $max'!C130</f>
        <v xml:space="preserve">MALLA ACMA C-139 (2,6 x 5 m) </v>
      </c>
      <c r="D17" s="337" t="s">
        <v>232</v>
      </c>
      <c r="E17" s="341">
        <v>4156</v>
      </c>
      <c r="F17" s="341">
        <v>4589</v>
      </c>
      <c r="G17">
        <f>+('APU DT-18'!$C$16/'NO BORRAR'!$A$2)*'NO BORRAR'!E17</f>
        <v>4167.8047083757556</v>
      </c>
      <c r="H17">
        <f>+('APU DT-18'!$C$16/'NO BORRAR'!$A$2)*'NO BORRAR'!F17</f>
        <v>4602.0346021983496</v>
      </c>
    </row>
    <row r="18" spans="2:8" ht="17.25" x14ac:dyDescent="0.25">
      <c r="B18" s="292"/>
      <c r="C18" s="305" t="str">
        <f>+'Acero $max'!C144</f>
        <v>MALLA ACMA C-188 (2,6 x 5 m) 28.34 kg</v>
      </c>
      <c r="D18" s="337" t="s">
        <v>232</v>
      </c>
      <c r="E18" s="341">
        <v>5207</v>
      </c>
      <c r="F18" s="341">
        <v>5918</v>
      </c>
      <c r="G18">
        <f>+('APU DT-18'!$C$16/'NO BORRAR'!$A$2)*'NO BORRAR'!E18</f>
        <v>5221.789970286949</v>
      </c>
      <c r="H18">
        <f>+('APU DT-18'!$C$16/'NO BORRAR'!$A$2)*'NO BORRAR'!F18</f>
        <v>5934.809495709269</v>
      </c>
    </row>
    <row r="19" spans="2:8" ht="17.25" x14ac:dyDescent="0.25">
      <c r="B19" s="292"/>
      <c r="C19" s="305" t="str">
        <f>+'Acero $max'!C158</f>
        <v>MALLA ACMA C-196 (2,6 x 5 m)</v>
      </c>
      <c r="D19" s="337" t="s">
        <v>232</v>
      </c>
      <c r="E19" s="341">
        <v>6427</v>
      </c>
      <c r="F19" s="341">
        <v>7142</v>
      </c>
      <c r="G19">
        <f>+('APU DT-18'!$C$16/'NO BORRAR'!$A$2)*'NO BORRAR'!E19</f>
        <v>6445.2552600411409</v>
      </c>
      <c r="H19">
        <f>+('APU DT-18'!$C$16/'NO BORRAR'!$A$2)*'NO BORRAR'!F19</f>
        <v>7162.2861470692123</v>
      </c>
    </row>
    <row r="20" spans="2:8" ht="17.25" x14ac:dyDescent="0.25">
      <c r="B20" s="292"/>
      <c r="C20" s="305" t="str">
        <f>+'Acero $max'!C172</f>
        <v>MALLA ACMA C-257 (2,6 x 5 m)</v>
      </c>
      <c r="D20" s="337" t="s">
        <v>232</v>
      </c>
      <c r="E20" s="341">
        <v>8627</v>
      </c>
      <c r="F20" s="341">
        <v>9174</v>
      </c>
      <c r="G20">
        <f>+('APU DT-18'!$C$16/'NO BORRAR'!$A$2)*'NO BORRAR'!E20</f>
        <v>8651.5041432044382</v>
      </c>
      <c r="H20">
        <f>+('APU DT-18'!$C$16/'NO BORRAR'!$A$2)*'NO BORRAR'!F20</f>
        <v>9200.0578427909477</v>
      </c>
    </row>
    <row r="21" spans="2:8" ht="17.25" x14ac:dyDescent="0.25">
      <c r="B21" s="292"/>
      <c r="C21" s="305" t="str">
        <f>+'Moldaje $max'!C4</f>
        <v>MOLDAJE TABLERO (3 USOS) MUROS</v>
      </c>
      <c r="D21" s="337" t="s">
        <v>232</v>
      </c>
      <c r="E21" s="341">
        <v>9549</v>
      </c>
      <c r="F21" s="341">
        <v>10976</v>
      </c>
      <c r="G21">
        <f>+('APU DT-18'!$C$16/'NO BORRAR'!$A$2)*'NO BORRAR'!E21</f>
        <v>9576.1229933301456</v>
      </c>
      <c r="H21">
        <f>+('APU DT-18'!$C$16/'NO BORRAR'!$A$2)*'NO BORRAR'!F21</f>
        <v>11007.176246181976</v>
      </c>
    </row>
    <row r="22" spans="2:8" ht="17.25" x14ac:dyDescent="0.25">
      <c r="B22" s="292"/>
      <c r="C22" s="305" t="str">
        <f>+'Moldaje $max'!C35</f>
        <v>MOLDAJE TABLERO (1 USO) MUROS</v>
      </c>
      <c r="D22" s="337" t="s">
        <v>232</v>
      </c>
      <c r="E22" s="341">
        <v>14742</v>
      </c>
      <c r="F22" s="341">
        <v>16756</v>
      </c>
      <c r="G22">
        <f>+('APU DT-18'!$C$16/'NO BORRAR'!$A$2)*'NO BORRAR'!E22</f>
        <v>14783.873197996965</v>
      </c>
      <c r="H22">
        <f>+('APU DT-18'!$C$16/'NO BORRAR'!$A$2)*'NO BORRAR'!F22</f>
        <v>16803.593766492821</v>
      </c>
    </row>
    <row r="23" spans="2:8" x14ac:dyDescent="0.25">
      <c r="C23" s="334" t="s">
        <v>204</v>
      </c>
      <c r="D23" s="339" t="s">
        <v>203</v>
      </c>
      <c r="E23" s="341">
        <v>14265</v>
      </c>
      <c r="F23" s="341">
        <v>22116</v>
      </c>
      <c r="G23">
        <f>+('APU DT-18'!$C$16/'NO BORRAR'!$A$2)*'NO BORRAR'!E23</f>
        <v>14305.518326511105</v>
      </c>
      <c r="H23">
        <f>+('APU DT-18'!$C$16/'NO BORRAR'!$A$2)*'NO BORRAR'!F23</f>
        <v>22178.818318199763</v>
      </c>
    </row>
    <row r="24" spans="2:8" ht="17.25" x14ac:dyDescent="0.25">
      <c r="B24" s="292"/>
      <c r="C24" s="305" t="str">
        <f>+'Mov. Tierras $max'!C4</f>
        <v>EXCAVACION CON MAQUINA</v>
      </c>
      <c r="D24" s="337" t="s">
        <v>231</v>
      </c>
      <c r="E24" s="341">
        <v>3398</v>
      </c>
      <c r="F24" s="341">
        <v>4237</v>
      </c>
      <c r="G24">
        <f>+('APU DT-18'!$C$16/'NO BORRAR'!$A$2)*'NO BORRAR'!E24</f>
        <v>3407.6516840858558</v>
      </c>
      <c r="H24">
        <f>+('APU DT-18'!$C$16/'NO BORRAR'!$A$2)*'NO BORRAR'!F24</f>
        <v>4249.0347808922224</v>
      </c>
    </row>
    <row r="25" spans="2:8" ht="17.25" x14ac:dyDescent="0.25">
      <c r="B25" s="292"/>
      <c r="C25" s="305" t="str">
        <f>+'Mov. Tierras $max'!C15</f>
        <v>EXCAVACION A MANO (terreno semi-blando)</v>
      </c>
      <c r="D25" s="337" t="s">
        <v>231</v>
      </c>
      <c r="E25" s="341">
        <v>7558</v>
      </c>
      <c r="F25" s="341">
        <v>9321</v>
      </c>
      <c r="G25">
        <f>+('APU DT-18'!$C$16/'NO BORRAR'!$A$2)*'NO BORRAR'!E25</f>
        <v>7579.4677540673629</v>
      </c>
      <c r="H25">
        <f>+('APU DT-18'!$C$16/'NO BORRAR'!$A$2)*'NO BORRAR'!F25</f>
        <v>9347.4753818023146</v>
      </c>
    </row>
    <row r="26" spans="2:8" ht="17.25" x14ac:dyDescent="0.25">
      <c r="B26" s="292"/>
      <c r="C26" s="305" t="str">
        <f>+'Mov. Tierras $max'!C24</f>
        <v>EXCAVACION A MANO (terreno Semi-Duro)</v>
      </c>
      <c r="D26" s="337" t="s">
        <v>231</v>
      </c>
      <c r="E26" s="341">
        <v>13605</v>
      </c>
      <c r="F26" s="341">
        <v>16777</v>
      </c>
      <c r="G26">
        <f>+('APU DT-18'!$C$16/'NO BORRAR'!$A$2)*'NO BORRAR'!E26</f>
        <v>13643.643661562115</v>
      </c>
      <c r="H26">
        <f>+('APU DT-18'!$C$16/'NO BORRAR'!$A$2)*'NO BORRAR'!F26</f>
        <v>16824.653414923014</v>
      </c>
    </row>
    <row r="27" spans="2:8" ht="17.25" x14ac:dyDescent="0.25">
      <c r="B27" s="292"/>
      <c r="C27" s="305" t="str">
        <f>+'Mov. Tierras $max'!C33</f>
        <v>RELLENO ESTRUCTURAL  MANUAL  POR CAPAS</v>
      </c>
      <c r="D27" s="337" t="s">
        <v>231</v>
      </c>
      <c r="E27" s="341">
        <v>16185</v>
      </c>
      <c r="F27" s="341">
        <v>19888</v>
      </c>
      <c r="G27">
        <f>+('APU DT-18'!$C$16/'NO BORRAR'!$A$2)*'NO BORRAR'!E27</f>
        <v>16230.9718972718</v>
      </c>
      <c r="H27">
        <f>+('APU DT-18'!$C$16/'NO BORRAR'!$A$2)*'NO BORRAR'!F27</f>
        <v>19944.489903796206</v>
      </c>
    </row>
    <row r="28" spans="2:8" ht="17.25" x14ac:dyDescent="0.25">
      <c r="B28" s="292"/>
      <c r="C28" s="305" t="str">
        <f>+'Mov. Tierras $max'!C48</f>
        <v>MEJORAMIENTO BASE CON GRAVILLA 3/4</v>
      </c>
      <c r="D28" s="337" t="s">
        <v>231</v>
      </c>
      <c r="E28" s="341">
        <v>22992</v>
      </c>
      <c r="F28" s="341">
        <v>26807</v>
      </c>
      <c r="G28">
        <f>+('APU DT-18'!$C$16/'NO BORRAR'!$A$2)*'NO BORRAR'!E28</f>
        <v>23057.306509859329</v>
      </c>
      <c r="H28">
        <f>+('APU DT-18'!$C$16/'NO BORRAR'!$A$2)*'NO BORRAR'!F28</f>
        <v>26883.142641344773</v>
      </c>
    </row>
    <row r="29" spans="2:8" ht="17.25" x14ac:dyDescent="0.25">
      <c r="B29" s="292"/>
      <c r="C29" s="305" t="str">
        <f>+'Mov. Tierras $max'!C63</f>
        <v xml:space="preserve">ESCARPE  CON MAQUINA </v>
      </c>
      <c r="D29" s="337" t="s">
        <v>231</v>
      </c>
      <c r="E29" s="341">
        <v>872</v>
      </c>
      <c r="F29" s="341">
        <v>1172</v>
      </c>
      <c r="G29">
        <f>+('APU DT-18'!$C$16/'NO BORRAR'!$A$2)*'NO BORRAR'!E29</f>
        <v>874.47683005381589</v>
      </c>
      <c r="H29">
        <f>+('APU DT-18'!$C$16/'NO BORRAR'!$A$2)*'NO BORRAR'!F29</f>
        <v>1175.3289504851746</v>
      </c>
    </row>
    <row r="30" spans="2:8" ht="30" x14ac:dyDescent="0.25">
      <c r="B30" s="292"/>
      <c r="C30" s="305" t="str">
        <f>+'Mov. Tierras $max'!C73</f>
        <v>SELECCION MATERIAL Y ACOPIO PARA DE TERRAPLENES:</v>
      </c>
      <c r="D30" s="337" t="s">
        <v>231</v>
      </c>
      <c r="E30" s="341">
        <v>3579</v>
      </c>
      <c r="F30" s="341">
        <v>4433</v>
      </c>
      <c r="G30">
        <f>+('APU DT-18'!$C$16/'NO BORRAR'!$A$2)*'NO BORRAR'!E30</f>
        <v>3589.1657967461088</v>
      </c>
      <c r="H30">
        <f>+('APU DT-18'!$C$16/'NO BORRAR'!$A$2)*'NO BORRAR'!F30</f>
        <v>4445.5914995740432</v>
      </c>
    </row>
    <row r="31" spans="2:8" ht="30" x14ac:dyDescent="0.25">
      <c r="B31" s="292"/>
      <c r="C31" s="305" t="s">
        <v>164</v>
      </c>
      <c r="D31" s="337" t="s">
        <v>231</v>
      </c>
      <c r="E31" s="341">
        <v>1584</v>
      </c>
      <c r="F31" s="341">
        <v>2113</v>
      </c>
      <c r="G31">
        <f>+('APU DT-18'!$C$16/'NO BORRAR'!$A$2)*'NO BORRAR'!E31</f>
        <v>1588.4991958775738</v>
      </c>
      <c r="H31">
        <f>+('APU DT-18'!$C$16/'NO BORRAR'!$A$2)*'NO BORRAR'!F31</f>
        <v>2119.0017682382031</v>
      </c>
    </row>
    <row r="32" spans="2:8" ht="30" x14ac:dyDescent="0.25">
      <c r="B32" s="292"/>
      <c r="C32" s="305" t="s">
        <v>165</v>
      </c>
      <c r="D32" s="337" t="s">
        <v>231</v>
      </c>
      <c r="E32" s="341">
        <f>+'Mov. Tierras $min'!N96*1.2</f>
        <v>1643.6986764705882</v>
      </c>
      <c r="F32" s="341">
        <f>+'Mov. Tierras $max'!N96*1.2</f>
        <v>2616.4313262032088</v>
      </c>
      <c r="G32">
        <f>+('APU DT-18'!$C$16/'NO BORRAR'!$A$2)*'NO BORRAR'!E32</f>
        <v>1648.3674405546476</v>
      </c>
      <c r="H32">
        <f>+('APU DT-18'!$C$16/'NO BORRAR'!$A$2)*'NO BORRAR'!F32</f>
        <v>2623.8630415042239</v>
      </c>
    </row>
    <row r="33" spans="2:8" ht="30" x14ac:dyDescent="0.25">
      <c r="B33" s="292"/>
      <c r="C33" s="305" t="s">
        <v>173</v>
      </c>
      <c r="D33" s="337" t="s">
        <v>231</v>
      </c>
      <c r="E33" s="341">
        <f>+'Mov. Tierras $min'!N108</f>
        <v>1298.1065126050419</v>
      </c>
      <c r="F33" s="341">
        <f>+'Mov. Tierras $max'!N108</f>
        <v>2226.5433556149728</v>
      </c>
      <c r="G33">
        <f>+('APU DT-18'!$C$16/'NO BORRAR'!$A$2)*'NO BORRAR'!E33</f>
        <v>1301.7936562099435</v>
      </c>
      <c r="H33">
        <f>+('APU DT-18'!$C$16/'NO BORRAR'!$A$2)*'NO BORRAR'!F33</f>
        <v>2232.8676325637243</v>
      </c>
    </row>
    <row r="34" spans="2:8" ht="30" x14ac:dyDescent="0.25">
      <c r="B34" s="292"/>
      <c r="C34" s="305" t="s">
        <v>166</v>
      </c>
      <c r="D34" s="337" t="s">
        <v>231</v>
      </c>
      <c r="E34" s="341">
        <v>1128</v>
      </c>
      <c r="F34" s="341">
        <v>1199</v>
      </c>
      <c r="G34">
        <f>+('APU DT-18'!$C$16/'NO BORRAR'!$A$2)*'NO BORRAR'!E34</f>
        <v>1131.2039728219086</v>
      </c>
      <c r="H34">
        <f>+('APU DT-18'!$C$16/'NO BORRAR'!$A$2)*'NO BORRAR'!F34</f>
        <v>1202.4056413239969</v>
      </c>
    </row>
    <row r="35" spans="2:8" ht="17.25" x14ac:dyDescent="0.25">
      <c r="B35" s="292"/>
      <c r="C35" s="305" t="str">
        <f>+'Mov. Tierras $max'!C138</f>
        <v>TRANSPORTE A BOTADERO (5 km)</v>
      </c>
      <c r="D35" s="337" t="s">
        <v>231</v>
      </c>
      <c r="E35" s="341">
        <f>5*535</f>
        <v>2675</v>
      </c>
      <c r="F35" s="341">
        <f>597*5</f>
        <v>2985</v>
      </c>
      <c r="G35">
        <f>+('APU DT-18'!$C$16/'NO BORRAR'!$A$2)*'NO BORRAR'!E35</f>
        <v>2682.5980738462813</v>
      </c>
      <c r="H35">
        <f>+('APU DT-18'!$C$16/'NO BORRAR'!$A$2)*'NO BORRAR'!F35</f>
        <v>2993.4785982920189</v>
      </c>
    </row>
    <row r="36" spans="2:8" ht="18" thickBot="1" x14ac:dyDescent="0.3">
      <c r="B36" s="293"/>
      <c r="C36" s="306" t="str">
        <f>+'Mov. Tierras $max'!C147</f>
        <v>MANEJO DE BOTADERO</v>
      </c>
      <c r="D36" s="338" t="s">
        <v>231</v>
      </c>
      <c r="E36" s="341">
        <v>2088</v>
      </c>
      <c r="F36" s="341">
        <v>2989</v>
      </c>
      <c r="G36">
        <f>+('APU DT-18'!$C$16/'NO BORRAR'!$A$2)*'NO BORRAR'!E36</f>
        <v>2093.9307582022561</v>
      </c>
      <c r="H36">
        <f>+('APU DT-18'!$C$16/'NO BORRAR'!$A$2)*'NO BORRAR'!F36</f>
        <v>2997.4899598977704</v>
      </c>
    </row>
    <row r="37" spans="2:8" ht="18" thickBot="1" x14ac:dyDescent="0.3">
      <c r="C37" t="str">
        <f>+'Mov. Tierras $min'!C154</f>
        <v>RELLENO COMÚN (COMPACTACIÓN SIMPLE)</v>
      </c>
      <c r="D37" s="338" t="s">
        <v>231</v>
      </c>
      <c r="E37" s="398">
        <f>+'Mov. Tierras $min'!L154</f>
        <v>3119.808</v>
      </c>
      <c r="F37" s="398">
        <f>+'Mov. Tierras $max'!L154</f>
        <v>4464.4664074074062</v>
      </c>
      <c r="G37">
        <f>+('APU DT-18'!$C$16/'NO BORRAR'!$A$2)*'NO BORRAR'!E37</f>
        <v>3128.6695071290542</v>
      </c>
      <c r="H37">
        <f>+('APU DT-18'!$C$16/'NO BORRAR'!$A$2)*'NO BORRAR'!F37</f>
        <v>4477.1472842102939</v>
      </c>
    </row>
    <row r="38" spans="2:8" ht="30.75" thickBot="1" x14ac:dyDescent="0.3">
      <c r="C38" s="305" t="s">
        <v>165</v>
      </c>
      <c r="D38" s="338" t="s">
        <v>231</v>
      </c>
      <c r="E38" s="403">
        <f>+'Mov. Tierras $min'!L170</f>
        <v>6199.6242647058816</v>
      </c>
      <c r="F38" s="403">
        <f>+'Mov. Tierras $max'!L170</f>
        <v>8630.7344117647044</v>
      </c>
      <c r="G38">
        <f>+('APU DT-18'!$C$16/'NO BORRAR'!$A$2)*E38</f>
        <v>6217.2336863815581</v>
      </c>
      <c r="H38">
        <f>+('APU DT-18'!$C$16/'NO BORRAR'!$A$2)*'NO BORRAR'!F38</f>
        <v>8655.2491621976878</v>
      </c>
    </row>
  </sheetData>
  <sheetProtection algorithmName="SHA-512" hashValue="dkLQ7errWCOjYYrm4LKBunNC+/wPP0uUI640jHWFGFjd1fCg0J94B6pGrsnmeZpj+LAsKipJZ4713lBSs/7bpg==" saltValue="lXmOCl+LZ9x3ec8P1UL/Sw==" spinCount="100000" sheet="1" objects="1" scenarios="1"/>
  <mergeCells count="1">
    <mergeCell ref="E2:F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B3:G46"/>
  <sheetViews>
    <sheetView topLeftCell="A16" workbookViewId="0">
      <selection activeCell="E34" sqref="E34"/>
    </sheetView>
  </sheetViews>
  <sheetFormatPr baseColWidth="10" defaultRowHeight="15" x14ac:dyDescent="0.25"/>
  <cols>
    <col min="3" max="3" width="45.5703125" bestFit="1" customWidth="1"/>
    <col min="4" max="4" width="15" bestFit="1" customWidth="1"/>
    <col min="5" max="5" width="15.5703125" bestFit="1" customWidth="1"/>
    <col min="6" max="6" width="0" hidden="1" customWidth="1"/>
  </cols>
  <sheetData>
    <row r="3" spans="2:7" x14ac:dyDescent="0.25">
      <c r="B3" t="s">
        <v>210</v>
      </c>
      <c r="C3">
        <v>21458</v>
      </c>
    </row>
    <row r="4" spans="2:7" x14ac:dyDescent="0.25">
      <c r="C4">
        <v>24068</v>
      </c>
    </row>
    <row r="5" spans="2:7" x14ac:dyDescent="0.25">
      <c r="C5">
        <f>+C4/C3</f>
        <v>1.1216329574051636</v>
      </c>
      <c r="D5" t="s">
        <v>212</v>
      </c>
    </row>
    <row r="9" spans="2:7" ht="15.75" thickBot="1" x14ac:dyDescent="0.3"/>
    <row r="10" spans="2:7" ht="16.5" thickBot="1" x14ac:dyDescent="0.3">
      <c r="C10" s="360" t="s">
        <v>177</v>
      </c>
      <c r="D10" s="322" t="s">
        <v>188</v>
      </c>
      <c r="E10" s="326" t="s">
        <v>189</v>
      </c>
      <c r="F10" s="361" t="s">
        <v>211</v>
      </c>
      <c r="G10" s="361" t="s">
        <v>213</v>
      </c>
    </row>
    <row r="11" spans="2:7" x14ac:dyDescent="0.25">
      <c r="C11" s="319" t="s">
        <v>178</v>
      </c>
      <c r="D11" s="324">
        <v>20142</v>
      </c>
      <c r="E11" s="324">
        <v>20142</v>
      </c>
      <c r="F11">
        <v>19200</v>
      </c>
      <c r="G11">
        <f>+F11*$C$5</f>
        <v>21535.352782179139</v>
      </c>
    </row>
    <row r="12" spans="2:7" x14ac:dyDescent="0.25">
      <c r="C12" s="320" t="s">
        <v>179</v>
      </c>
      <c r="D12" s="324">
        <v>16492</v>
      </c>
      <c r="E12" s="324">
        <v>16492</v>
      </c>
      <c r="F12">
        <v>13200</v>
      </c>
      <c r="G12">
        <f t="shared" ref="G12:G46" si="0">+F12*$C$5</f>
        <v>14805.55503774816</v>
      </c>
    </row>
    <row r="13" spans="2:7" x14ac:dyDescent="0.25">
      <c r="C13" s="320" t="s">
        <v>180</v>
      </c>
      <c r="D13" s="324">
        <v>14501</v>
      </c>
      <c r="E13" s="324">
        <v>14501</v>
      </c>
      <c r="F13">
        <v>10800</v>
      </c>
      <c r="G13">
        <f t="shared" si="0"/>
        <v>12113.635939975766</v>
      </c>
    </row>
    <row r="14" spans="2:7" x14ac:dyDescent="0.25">
      <c r="C14" s="320" t="s">
        <v>181</v>
      </c>
      <c r="D14" s="324">
        <v>11846</v>
      </c>
      <c r="E14" s="324">
        <v>11846</v>
      </c>
      <c r="F14">
        <v>8280</v>
      </c>
      <c r="G14">
        <f t="shared" si="0"/>
        <v>9287.1208873147534</v>
      </c>
    </row>
    <row r="15" spans="2:7" ht="15.75" thickBot="1" x14ac:dyDescent="0.3">
      <c r="C15" s="321" t="s">
        <v>182</v>
      </c>
      <c r="D15" s="325">
        <v>10187</v>
      </c>
      <c r="E15" s="324">
        <v>10187</v>
      </c>
      <c r="F15">
        <v>7800</v>
      </c>
      <c r="G15">
        <f t="shared" si="0"/>
        <v>8748.7370677602757</v>
      </c>
    </row>
    <row r="16" spans="2:7" ht="16.5" thickBot="1" x14ac:dyDescent="0.3">
      <c r="C16" s="360" t="s">
        <v>183</v>
      </c>
      <c r="D16" s="322" t="s">
        <v>188</v>
      </c>
      <c r="E16" s="326" t="s">
        <v>189</v>
      </c>
      <c r="G16">
        <f t="shared" si="0"/>
        <v>0</v>
      </c>
    </row>
    <row r="17" spans="3:7" x14ac:dyDescent="0.25">
      <c r="C17" s="317" t="s">
        <v>13</v>
      </c>
      <c r="D17" s="323">
        <v>9500</v>
      </c>
      <c r="E17" s="324">
        <v>9500</v>
      </c>
      <c r="G17">
        <v>9500</v>
      </c>
    </row>
    <row r="18" spans="3:7" x14ac:dyDescent="0.25">
      <c r="C18" s="317" t="s">
        <v>16</v>
      </c>
      <c r="D18" s="323">
        <v>12500</v>
      </c>
      <c r="E18" s="324">
        <v>12500</v>
      </c>
      <c r="F18">
        <v>17524</v>
      </c>
      <c r="G18">
        <f t="shared" si="0"/>
        <v>19655.495945568087</v>
      </c>
    </row>
    <row r="19" spans="3:7" x14ac:dyDescent="0.25">
      <c r="C19" s="317" t="s">
        <v>42</v>
      </c>
      <c r="D19" s="323">
        <v>10000</v>
      </c>
      <c r="E19" s="324">
        <v>10000</v>
      </c>
      <c r="F19">
        <v>4776</v>
      </c>
      <c r="G19">
        <f t="shared" si="0"/>
        <v>5356.9190045670612</v>
      </c>
    </row>
    <row r="20" spans="3:7" x14ac:dyDescent="0.25">
      <c r="C20" s="317" t="s">
        <v>104</v>
      </c>
      <c r="D20" s="323">
        <v>30000</v>
      </c>
      <c r="E20" s="324">
        <v>30000</v>
      </c>
      <c r="F20">
        <v>15183</v>
      </c>
      <c r="G20">
        <f t="shared" si="0"/>
        <v>17029.753192282598</v>
      </c>
    </row>
    <row r="21" spans="3:7" x14ac:dyDescent="0.25">
      <c r="C21" s="317" t="s">
        <v>112</v>
      </c>
      <c r="D21" s="323">
        <v>15000</v>
      </c>
      <c r="E21" s="324">
        <v>15000</v>
      </c>
      <c r="F21">
        <v>17431</v>
      </c>
      <c r="G21">
        <f t="shared" si="0"/>
        <v>19551.184080529405</v>
      </c>
    </row>
    <row r="22" spans="3:7" x14ac:dyDescent="0.25">
      <c r="C22" s="317" t="s">
        <v>140</v>
      </c>
      <c r="D22" s="323">
        <v>50000</v>
      </c>
      <c r="E22" s="324">
        <v>50000</v>
      </c>
      <c r="F22">
        <v>29026</v>
      </c>
      <c r="G22">
        <f t="shared" si="0"/>
        <v>32556.518221642276</v>
      </c>
    </row>
    <row r="23" spans="3:7" x14ac:dyDescent="0.25">
      <c r="C23" s="317" t="s">
        <v>150</v>
      </c>
      <c r="D23" s="323">
        <v>150000</v>
      </c>
      <c r="E23" s="324">
        <v>150000</v>
      </c>
      <c r="F23">
        <v>39500</v>
      </c>
      <c r="G23">
        <f t="shared" si="0"/>
        <v>44304.501817503959</v>
      </c>
    </row>
    <row r="24" spans="3:7" x14ac:dyDescent="0.25">
      <c r="C24" s="317" t="s">
        <v>154</v>
      </c>
      <c r="D24" s="323">
        <v>50000</v>
      </c>
      <c r="E24" s="324">
        <v>50000</v>
      </c>
      <c r="G24">
        <f t="shared" si="0"/>
        <v>0</v>
      </c>
    </row>
    <row r="25" spans="3:7" ht="15.75" thickBot="1" x14ac:dyDescent="0.3">
      <c r="C25" s="318" t="s">
        <v>158</v>
      </c>
      <c r="D25" s="327">
        <v>50000</v>
      </c>
      <c r="E25" s="324">
        <v>50000</v>
      </c>
      <c r="F25">
        <v>42350</v>
      </c>
      <c r="G25">
        <f t="shared" si="0"/>
        <v>47501.155746108678</v>
      </c>
    </row>
    <row r="26" spans="3:7" ht="16.5" thickBot="1" x14ac:dyDescent="0.3">
      <c r="C26" s="360" t="s">
        <v>184</v>
      </c>
      <c r="D26" s="322" t="s">
        <v>188</v>
      </c>
      <c r="E26" s="326" t="s">
        <v>189</v>
      </c>
      <c r="G26">
        <f t="shared" si="0"/>
        <v>0</v>
      </c>
    </row>
    <row r="27" spans="3:7" x14ac:dyDescent="0.25">
      <c r="C27" s="316" t="s">
        <v>17</v>
      </c>
      <c r="D27" s="324">
        <v>950</v>
      </c>
      <c r="E27" s="324">
        <v>950</v>
      </c>
      <c r="G27">
        <f t="shared" si="0"/>
        <v>0</v>
      </c>
    </row>
    <row r="28" spans="3:7" x14ac:dyDescent="0.25">
      <c r="C28" s="317" t="s">
        <v>59</v>
      </c>
      <c r="D28" s="323">
        <v>6200</v>
      </c>
      <c r="E28" s="324">
        <v>6200</v>
      </c>
      <c r="F28">
        <v>4950</v>
      </c>
      <c r="G28">
        <f t="shared" si="0"/>
        <v>5552.0831391555594</v>
      </c>
    </row>
    <row r="29" spans="3:7" x14ac:dyDescent="0.25">
      <c r="C29" s="317" t="s">
        <v>60</v>
      </c>
      <c r="D29" s="323">
        <v>8400</v>
      </c>
      <c r="E29" s="324">
        <v>8400</v>
      </c>
      <c r="F29">
        <v>7700</v>
      </c>
      <c r="G29">
        <f t="shared" si="0"/>
        <v>8636.5737720197594</v>
      </c>
    </row>
    <row r="30" spans="3:7" x14ac:dyDescent="0.25">
      <c r="C30" s="316" t="s">
        <v>21</v>
      </c>
      <c r="D30" s="324">
        <v>3782</v>
      </c>
      <c r="E30" s="324">
        <v>3782</v>
      </c>
      <c r="F30">
        <v>3655</v>
      </c>
      <c r="G30">
        <f t="shared" si="0"/>
        <v>4099.568459315873</v>
      </c>
    </row>
    <row r="31" spans="3:7" x14ac:dyDescent="0.25">
      <c r="C31" s="316" t="s">
        <v>43</v>
      </c>
      <c r="D31" s="324">
        <v>2560</v>
      </c>
      <c r="E31" s="324">
        <v>2560</v>
      </c>
      <c r="F31">
        <v>1575</v>
      </c>
      <c r="G31">
        <f t="shared" si="0"/>
        <v>1766.5719079131327</v>
      </c>
    </row>
    <row r="32" spans="3:7" x14ac:dyDescent="0.25">
      <c r="C32" s="317" t="s">
        <v>74</v>
      </c>
      <c r="D32" s="323">
        <v>550</v>
      </c>
      <c r="E32" s="324">
        <v>550</v>
      </c>
      <c r="F32">
        <v>456</v>
      </c>
      <c r="G32">
        <f t="shared" si="0"/>
        <v>511.46462857675459</v>
      </c>
    </row>
    <row r="33" spans="3:7" x14ac:dyDescent="0.25">
      <c r="C33" s="317" t="s">
        <v>75</v>
      </c>
      <c r="D33" s="323">
        <v>600</v>
      </c>
      <c r="E33" s="324">
        <v>600</v>
      </c>
      <c r="F33">
        <v>485</v>
      </c>
      <c r="G33">
        <f t="shared" si="0"/>
        <v>543.99198434150435</v>
      </c>
    </row>
    <row r="34" spans="3:7" x14ac:dyDescent="0.25">
      <c r="C34" s="316" t="s">
        <v>64</v>
      </c>
      <c r="D34" s="324">
        <v>872</v>
      </c>
      <c r="E34" s="324">
        <v>872</v>
      </c>
      <c r="G34">
        <f t="shared" si="0"/>
        <v>0</v>
      </c>
    </row>
    <row r="35" spans="3:7" x14ac:dyDescent="0.25">
      <c r="C35" s="316" t="s">
        <v>80</v>
      </c>
      <c r="D35" s="324">
        <v>9839</v>
      </c>
      <c r="E35" s="324">
        <v>9839</v>
      </c>
      <c r="F35">
        <v>13067</v>
      </c>
      <c r="G35">
        <f t="shared" si="0"/>
        <v>14656.377854413273</v>
      </c>
    </row>
    <row r="36" spans="3:7" x14ac:dyDescent="0.25">
      <c r="C36" s="316" t="s">
        <v>81</v>
      </c>
      <c r="D36" s="324">
        <v>15682</v>
      </c>
      <c r="E36" s="324">
        <v>15682</v>
      </c>
      <c r="G36">
        <f t="shared" si="0"/>
        <v>0</v>
      </c>
    </row>
    <row r="37" spans="3:7" x14ac:dyDescent="0.25">
      <c r="C37" s="317" t="s">
        <v>82</v>
      </c>
      <c r="D37" s="323">
        <v>20000</v>
      </c>
      <c r="E37" s="324">
        <v>20000</v>
      </c>
      <c r="G37">
        <f t="shared" si="0"/>
        <v>0</v>
      </c>
    </row>
    <row r="38" spans="3:7" x14ac:dyDescent="0.25">
      <c r="C38" s="317" t="s">
        <v>129</v>
      </c>
      <c r="D38" s="323">
        <v>30000</v>
      </c>
      <c r="E38" s="324">
        <v>30000</v>
      </c>
      <c r="G38">
        <f t="shared" si="0"/>
        <v>0</v>
      </c>
    </row>
    <row r="39" spans="3:7" x14ac:dyDescent="0.25">
      <c r="C39" s="317" t="s">
        <v>127</v>
      </c>
      <c r="D39" s="323">
        <v>40000</v>
      </c>
      <c r="E39" s="324">
        <v>40000</v>
      </c>
      <c r="G39">
        <f t="shared" si="0"/>
        <v>0</v>
      </c>
    </row>
    <row r="40" spans="3:7" x14ac:dyDescent="0.25">
      <c r="C40" s="316" t="s">
        <v>122</v>
      </c>
      <c r="D40" s="324">
        <v>9908</v>
      </c>
      <c r="E40" s="324">
        <v>9908</v>
      </c>
      <c r="G40">
        <f t="shared" si="0"/>
        <v>0</v>
      </c>
    </row>
    <row r="41" spans="3:7" x14ac:dyDescent="0.25">
      <c r="C41" s="316" t="s">
        <v>85</v>
      </c>
      <c r="D41" s="324">
        <v>1209</v>
      </c>
      <c r="E41" s="324">
        <v>1209</v>
      </c>
      <c r="F41">
        <v>2766</v>
      </c>
      <c r="G41">
        <f t="shared" si="0"/>
        <v>3102.4367601826825</v>
      </c>
    </row>
    <row r="42" spans="3:7" x14ac:dyDescent="0.25">
      <c r="C42" s="316" t="s">
        <v>95</v>
      </c>
      <c r="D42" s="324">
        <v>872</v>
      </c>
      <c r="E42" s="324">
        <v>872</v>
      </c>
      <c r="G42">
        <f t="shared" si="0"/>
        <v>0</v>
      </c>
    </row>
    <row r="43" spans="3:7" x14ac:dyDescent="0.25">
      <c r="C43" s="316" t="s">
        <v>96</v>
      </c>
      <c r="D43" s="324">
        <v>882</v>
      </c>
      <c r="E43" s="324">
        <v>882</v>
      </c>
      <c r="G43">
        <f t="shared" si="0"/>
        <v>0</v>
      </c>
    </row>
    <row r="44" spans="3:7" x14ac:dyDescent="0.25">
      <c r="C44" s="317" t="s">
        <v>97</v>
      </c>
      <c r="D44" s="323">
        <v>25</v>
      </c>
      <c r="E44" s="324">
        <v>25</v>
      </c>
      <c r="G44">
        <f t="shared" si="0"/>
        <v>0</v>
      </c>
    </row>
    <row r="45" spans="3:7" ht="15.75" thickBot="1" x14ac:dyDescent="0.3">
      <c r="C45" s="318" t="s">
        <v>100</v>
      </c>
      <c r="D45" s="327">
        <v>2000</v>
      </c>
      <c r="E45" s="324">
        <v>2000</v>
      </c>
      <c r="G45">
        <f t="shared" si="0"/>
        <v>0</v>
      </c>
    </row>
    <row r="46" spans="3:7" x14ac:dyDescent="0.25">
      <c r="C46" s="334" t="s">
        <v>204</v>
      </c>
      <c r="D46" s="335">
        <v>5000</v>
      </c>
      <c r="E46" s="324">
        <v>5000</v>
      </c>
      <c r="G46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B2:BC73"/>
  <sheetViews>
    <sheetView topLeftCell="B3" zoomScale="115" zoomScaleNormal="115" workbookViewId="0">
      <selection activeCell="D30" sqref="D30"/>
    </sheetView>
  </sheetViews>
  <sheetFormatPr baseColWidth="10" defaultRowHeight="15" x14ac:dyDescent="0.25"/>
  <cols>
    <col min="1" max="1" width="0" style="276" hidden="1" customWidth="1"/>
    <col min="2" max="2" width="11.42578125" style="404"/>
    <col min="3" max="3" width="32.7109375" style="404" bestFit="1" customWidth="1"/>
    <col min="4" max="4" width="17.85546875" style="404" bestFit="1" customWidth="1"/>
    <col min="5" max="5" width="36.7109375" style="276" customWidth="1"/>
    <col min="6" max="6" width="8.28515625" style="276" customWidth="1"/>
    <col min="7" max="7" width="7.5703125" style="276" customWidth="1"/>
    <col min="8" max="9" width="11.42578125" style="276" customWidth="1"/>
    <col min="10" max="10" width="8.140625" style="276" customWidth="1"/>
    <col min="11" max="11" width="7" style="276" customWidth="1"/>
    <col min="12" max="27" width="11.42578125" style="276" customWidth="1"/>
    <col min="28" max="28" width="21.42578125" style="276" customWidth="1"/>
    <col min="29" max="29" width="12" style="276" customWidth="1"/>
    <col min="30" max="30" width="11.42578125" style="276" customWidth="1"/>
    <col min="31" max="31" width="17.85546875" style="276" customWidth="1"/>
    <col min="32" max="32" width="11.42578125" style="276" customWidth="1"/>
    <col min="33" max="33" width="12.5703125" style="276" customWidth="1"/>
    <col min="34" max="34" width="11.85546875" style="276" customWidth="1"/>
    <col min="35" max="43" width="11.42578125" style="276" customWidth="1"/>
    <col min="44" max="16384" width="11.42578125" style="276"/>
  </cols>
  <sheetData>
    <row r="2" spans="2:36" ht="15.75" thickBot="1" x14ac:dyDescent="0.3">
      <c r="AJ2" s="276" t="s">
        <v>284</v>
      </c>
    </row>
    <row r="3" spans="2:36" x14ac:dyDescent="0.25">
      <c r="C3" s="575" t="s">
        <v>287</v>
      </c>
      <c r="D3" s="576"/>
      <c r="AJ3" s="276" t="s">
        <v>285</v>
      </c>
    </row>
    <row r="4" spans="2:36" ht="15.75" thickBot="1" x14ac:dyDescent="0.3">
      <c r="C4" s="577"/>
      <c r="D4" s="578"/>
    </row>
    <row r="5" spans="2:36" ht="16.5" thickBot="1" x14ac:dyDescent="0.3">
      <c r="C5" s="579" t="s">
        <v>330</v>
      </c>
      <c r="D5" s="580"/>
    </row>
    <row r="6" spans="2:36" x14ac:dyDescent="0.25">
      <c r="C6" s="425" t="s">
        <v>320</v>
      </c>
      <c r="D6" s="541">
        <v>10</v>
      </c>
    </row>
    <row r="7" spans="2:36" x14ac:dyDescent="0.25">
      <c r="C7" s="435" t="s">
        <v>321</v>
      </c>
      <c r="D7" s="542">
        <v>24</v>
      </c>
    </row>
    <row r="8" spans="2:36" ht="15.75" thickBot="1" x14ac:dyDescent="0.3">
      <c r="C8" s="426" t="s">
        <v>322</v>
      </c>
      <c r="D8" s="515">
        <f>+D7*3600*D6/1000</f>
        <v>864</v>
      </c>
    </row>
    <row r="9" spans="2:36" ht="16.5" thickBot="1" x14ac:dyDescent="0.3">
      <c r="C9" s="581" t="s">
        <v>233</v>
      </c>
      <c r="D9" s="582"/>
    </row>
    <row r="10" spans="2:36" ht="15.75" thickBot="1" x14ac:dyDescent="0.3">
      <c r="B10" s="276"/>
      <c r="C10" s="418" t="s">
        <v>233</v>
      </c>
      <c r="D10" s="546" t="s">
        <v>234</v>
      </c>
    </row>
    <row r="11" spans="2:36" ht="15.75" thickBot="1" x14ac:dyDescent="0.3">
      <c r="B11" s="276"/>
      <c r="C11" s="419" t="s">
        <v>286</v>
      </c>
      <c r="D11" s="547" t="s">
        <v>284</v>
      </c>
      <c r="AB11" s="276" t="s">
        <v>235</v>
      </c>
      <c r="AC11" s="276" t="s">
        <v>236</v>
      </c>
      <c r="AD11" s="276" t="s">
        <v>237</v>
      </c>
      <c r="AE11" s="276" t="s">
        <v>233</v>
      </c>
      <c r="AF11" s="406"/>
    </row>
    <row r="12" spans="2:36" ht="24" thickBot="1" x14ac:dyDescent="0.3">
      <c r="B12" s="276"/>
      <c r="C12" s="495" t="str">
        <f>+IF(D10="Excavación y Muro",  "Indique profundidad de excavación","")</f>
        <v>Indique profundidad de excavación</v>
      </c>
      <c r="D12" s="543">
        <v>2</v>
      </c>
      <c r="E12" s="493" t="s">
        <v>313</v>
      </c>
      <c r="AF12" s="406"/>
    </row>
    <row r="13" spans="2:36" ht="16.5" thickBot="1" x14ac:dyDescent="0.3">
      <c r="B13" s="276"/>
      <c r="C13" s="579" t="s">
        <v>288</v>
      </c>
      <c r="D13" s="580"/>
      <c r="AB13" s="276">
        <v>100</v>
      </c>
      <c r="AC13" s="276">
        <v>1</v>
      </c>
      <c r="AD13" s="276">
        <v>5</v>
      </c>
      <c r="AE13" s="276" t="s">
        <v>238</v>
      </c>
    </row>
    <row r="14" spans="2:36" x14ac:dyDescent="0.25">
      <c r="B14" s="276"/>
      <c r="C14" s="429" t="s">
        <v>239</v>
      </c>
      <c r="D14" s="430" t="s">
        <v>240</v>
      </c>
      <c r="AB14" s="276">
        <v>200</v>
      </c>
      <c r="AC14" s="276">
        <v>1.5</v>
      </c>
      <c r="AD14" s="276">
        <v>10</v>
      </c>
      <c r="AE14" s="276" t="s">
        <v>234</v>
      </c>
    </row>
    <row r="15" spans="2:36" x14ac:dyDescent="0.25">
      <c r="B15" s="276"/>
      <c r="C15" s="431" t="s">
        <v>241</v>
      </c>
      <c r="D15" s="432">
        <v>2</v>
      </c>
      <c r="AB15" s="276">
        <v>300</v>
      </c>
      <c r="AC15" s="276">
        <v>2</v>
      </c>
      <c r="AD15" s="276">
        <v>15</v>
      </c>
      <c r="AE15" s="276" t="s">
        <v>242</v>
      </c>
    </row>
    <row r="16" spans="2:36" ht="15.75" thickBot="1" x14ac:dyDescent="0.3">
      <c r="B16" s="276"/>
      <c r="C16" s="433" t="s">
        <v>243</v>
      </c>
      <c r="D16" s="434">
        <v>0.3</v>
      </c>
      <c r="AB16" s="276">
        <v>400</v>
      </c>
      <c r="AC16" s="276">
        <v>2.5</v>
      </c>
      <c r="AD16" s="276">
        <v>20</v>
      </c>
    </row>
    <row r="17" spans="2:55" ht="16.5" thickBot="1" x14ac:dyDescent="0.3">
      <c r="B17" s="276"/>
      <c r="C17" s="581" t="s">
        <v>291</v>
      </c>
      <c r="D17" s="582"/>
      <c r="AB17" s="276">
        <v>500</v>
      </c>
      <c r="AD17" s="276">
        <v>25</v>
      </c>
    </row>
    <row r="18" spans="2:55" x14ac:dyDescent="0.25">
      <c r="B18" s="276"/>
      <c r="C18" s="420" t="s">
        <v>235</v>
      </c>
      <c r="D18" s="548">
        <v>700</v>
      </c>
      <c r="E18" s="408" t="str">
        <f>+IF(D18&gt;D8*1.2,"Volumen excesivo, ajustar","")</f>
        <v/>
      </c>
      <c r="AB18" s="276">
        <v>600</v>
      </c>
    </row>
    <row r="19" spans="2:55" ht="15.75" thickBot="1" x14ac:dyDescent="0.3">
      <c r="B19" s="276"/>
      <c r="C19" s="421" t="s">
        <v>308</v>
      </c>
      <c r="D19" s="549">
        <v>2.5</v>
      </c>
      <c r="E19" s="408" t="str">
        <f>IF(D10="100% Excavado","",IF(D12&gt;=D19,"Profundidad mayor a la altura, corregir",""))</f>
        <v/>
      </c>
      <c r="AB19" s="276">
        <v>700</v>
      </c>
    </row>
    <row r="20" spans="2:55" ht="15.75" hidden="1" thickBot="1" x14ac:dyDescent="0.3">
      <c r="B20" s="276"/>
      <c r="C20" s="413"/>
      <c r="D20" s="414"/>
      <c r="AB20" s="276">
        <v>800</v>
      </c>
    </row>
    <row r="21" spans="2:55" ht="16.5" thickBot="1" x14ac:dyDescent="0.3">
      <c r="B21" s="276"/>
      <c r="C21" s="584" t="s">
        <v>283</v>
      </c>
      <c r="D21" s="585"/>
      <c r="AB21" s="276">
        <v>900</v>
      </c>
    </row>
    <row r="22" spans="2:55" x14ac:dyDescent="0.25">
      <c r="B22" s="276"/>
      <c r="C22" s="425" t="s">
        <v>309</v>
      </c>
      <c r="D22" s="422">
        <f>+D19-D16</f>
        <v>2.2000000000000002</v>
      </c>
      <c r="AB22" s="276">
        <v>1000</v>
      </c>
    </row>
    <row r="23" spans="2:55" x14ac:dyDescent="0.25">
      <c r="B23" s="276"/>
      <c r="C23" s="435" t="s">
        <v>245</v>
      </c>
      <c r="D23" s="423">
        <f>INT((AC28)^2)</f>
        <v>202</v>
      </c>
    </row>
    <row r="24" spans="2:55" x14ac:dyDescent="0.25">
      <c r="B24" s="276"/>
      <c r="C24" s="435" t="s">
        <v>310</v>
      </c>
      <c r="D24" s="550">
        <v>10</v>
      </c>
    </row>
    <row r="25" spans="2:55" ht="15.75" thickBot="1" x14ac:dyDescent="0.3">
      <c r="B25" s="276"/>
      <c r="C25" s="426" t="s">
        <v>311</v>
      </c>
      <c r="D25" s="424">
        <f>(D23/D24)</f>
        <v>20.2</v>
      </c>
    </row>
    <row r="26" spans="2:55" ht="15.75" hidden="1" thickBot="1" x14ac:dyDescent="0.3">
      <c r="C26" s="413"/>
      <c r="D26" s="414"/>
    </row>
    <row r="27" spans="2:55" ht="16.5" thickBot="1" x14ac:dyDescent="0.3">
      <c r="B27" s="276"/>
      <c r="C27" s="579" t="s">
        <v>289</v>
      </c>
      <c r="D27" s="580"/>
      <c r="E27" s="516" t="s">
        <v>331</v>
      </c>
      <c r="AB27" s="404"/>
      <c r="AD27" s="276" t="s">
        <v>246</v>
      </c>
      <c r="AL27" s="407"/>
    </row>
    <row r="28" spans="2:55" x14ac:dyDescent="0.25">
      <c r="B28" s="276"/>
      <c r="C28" s="425" t="s">
        <v>357</v>
      </c>
      <c r="D28" s="544">
        <v>10</v>
      </c>
      <c r="E28" s="408" t="str">
        <f>IF(D28="","",IF(D28&gt;D24+0.15*D24,"Medida Excesiva, ajustar a cálculo",IF(D28&lt;D24,"Menor a cálculo, corregir","")))</f>
        <v/>
      </c>
      <c r="AB28" s="404" t="s">
        <v>247</v>
      </c>
      <c r="AC28" s="276">
        <f>+(SQRT((D18/(D19-D16))-2.25*(D19-D16)^2)-1.5*(D19-D16))</f>
        <v>14.22974096162913</v>
      </c>
      <c r="AD28" s="404">
        <f>+AC28*AC28</f>
        <v>202.48552783506591</v>
      </c>
    </row>
    <row r="29" spans="2:55" x14ac:dyDescent="0.25">
      <c r="B29" s="276"/>
      <c r="C29" s="435" t="s">
        <v>358</v>
      </c>
      <c r="D29" s="545">
        <v>20.2</v>
      </c>
      <c r="E29" s="408" t="str">
        <f>IF(D29="","",IF(D29&gt;D25+0.15*D25,"Medida Excesiva, ajustar a cálculo",IF(D29&lt;D25,"Menor a cálculo, corregir","")))</f>
        <v/>
      </c>
      <c r="AB29" s="404"/>
      <c r="AE29" s="276" t="s">
        <v>235</v>
      </c>
    </row>
    <row r="30" spans="2:55" x14ac:dyDescent="0.25">
      <c r="B30" s="276"/>
      <c r="C30" s="435" t="s">
        <v>355</v>
      </c>
      <c r="D30" s="540">
        <f>+D28+3*D19</f>
        <v>17.5</v>
      </c>
      <c r="E30" s="408"/>
      <c r="AB30" s="404"/>
    </row>
    <row r="31" spans="2:55" ht="15.75" thickBot="1" x14ac:dyDescent="0.3">
      <c r="B31" s="276"/>
      <c r="C31" s="426" t="s">
        <v>356</v>
      </c>
      <c r="D31" s="424">
        <f>+D29+3*D19</f>
        <v>27.7</v>
      </c>
      <c r="E31" s="408"/>
      <c r="AB31" s="404"/>
    </row>
    <row r="32" spans="2:55" ht="16.5" thickBot="1" x14ac:dyDescent="0.3">
      <c r="B32" s="276"/>
      <c r="C32" s="587" t="s">
        <v>290</v>
      </c>
      <c r="D32" s="588"/>
      <c r="G32" s="531"/>
      <c r="H32" s="488"/>
      <c r="I32" s="488"/>
      <c r="J32" s="488"/>
      <c r="K32" s="532"/>
      <c r="AB32" s="404" t="s">
        <v>248</v>
      </c>
      <c r="AC32" s="276">
        <f>+(AC28+3*(D19-D16))</f>
        <v>20.829740961629131</v>
      </c>
      <c r="AD32" s="276">
        <f>+AC32*AC32</f>
        <v>433.87810852857046</v>
      </c>
      <c r="AE32" s="276">
        <f>+(AVERAGE(AD28:AD32)*D22)</f>
        <v>700.00000000000011</v>
      </c>
      <c r="BB32" s="409" t="s">
        <v>249</v>
      </c>
      <c r="BC32" s="409">
        <f>+AVERAGE(AD28:AD32)*(D19-D16)</f>
        <v>700.00000000000011</v>
      </c>
    </row>
    <row r="33" spans="2:31" ht="15.75" thickBot="1" x14ac:dyDescent="0.3">
      <c r="B33" s="276"/>
      <c r="C33" s="496" t="s">
        <v>317</v>
      </c>
      <c r="D33" s="501">
        <f>IF(D10="100% Excavado","Sin Muro",D19-D12)</f>
        <v>0.5</v>
      </c>
      <c r="G33" s="449"/>
      <c r="K33" s="487"/>
    </row>
    <row r="34" spans="2:31" x14ac:dyDescent="0.25">
      <c r="B34" s="276"/>
      <c r="C34" s="497" t="s">
        <v>316</v>
      </c>
      <c r="D34" s="498">
        <f>+D29*D28</f>
        <v>202</v>
      </c>
      <c r="G34" s="449"/>
      <c r="H34" s="535"/>
      <c r="I34" s="536">
        <f>+D28</f>
        <v>10</v>
      </c>
      <c r="J34" s="532"/>
      <c r="K34" s="487"/>
      <c r="AB34" s="276" t="s">
        <v>256</v>
      </c>
      <c r="AC34" s="276">
        <f>+AC28+3*D19</f>
        <v>21.72974096162913</v>
      </c>
    </row>
    <row r="35" spans="2:31" x14ac:dyDescent="0.25">
      <c r="B35" s="276"/>
      <c r="C35" s="497" t="s">
        <v>312</v>
      </c>
      <c r="D35" s="498">
        <f>+(D28+3*(D19-D16))*(D29+3*(D19-D16))</f>
        <v>444.88000000000005</v>
      </c>
      <c r="G35" s="449"/>
      <c r="H35" s="449"/>
      <c r="J35" s="487"/>
      <c r="K35" s="487"/>
    </row>
    <row r="36" spans="2:31" x14ac:dyDescent="0.25">
      <c r="B36" s="276"/>
      <c r="C36" s="497" t="s">
        <v>250</v>
      </c>
      <c r="D36" s="498">
        <f>+(D28+3*D19)*(D29+3*D19)</f>
        <v>484.75</v>
      </c>
      <c r="G36" s="449"/>
      <c r="H36" s="449"/>
      <c r="J36" s="487"/>
      <c r="K36" s="487"/>
      <c r="AC36" s="276" t="s">
        <v>260</v>
      </c>
      <c r="AD36" s="276" t="s">
        <v>244</v>
      </c>
      <c r="AE36" s="276" t="s">
        <v>261</v>
      </c>
    </row>
    <row r="37" spans="2:31" ht="15.75" thickBot="1" x14ac:dyDescent="0.3">
      <c r="C37" s="499" t="s">
        <v>255</v>
      </c>
      <c r="D37" s="500">
        <f>+AVERAGE(D34:D35)*D22</f>
        <v>711.56800000000021</v>
      </c>
      <c r="G37" s="537">
        <f>+D31</f>
        <v>27.7</v>
      </c>
      <c r="H37" s="537">
        <f>+D29</f>
        <v>20.2</v>
      </c>
      <c r="J37" s="487"/>
      <c r="K37" s="487"/>
      <c r="AB37" s="276" t="s">
        <v>258</v>
      </c>
      <c r="AC37" s="276">
        <f>+D29</f>
        <v>20.2</v>
      </c>
      <c r="AD37" s="276">
        <f>+AC37+3*D22</f>
        <v>26.8</v>
      </c>
      <c r="AE37" s="276">
        <f>+AC37+3*D19</f>
        <v>27.7</v>
      </c>
    </row>
    <row r="38" spans="2:31" hidden="1" x14ac:dyDescent="0.25">
      <c r="C38" s="510" t="s">
        <v>327</v>
      </c>
      <c r="D38" s="511">
        <f>+AD72</f>
        <v>22.5</v>
      </c>
      <c r="G38" s="449"/>
      <c r="H38" s="449"/>
      <c r="J38" s="487"/>
      <c r="K38" s="487"/>
    </row>
    <row r="39" spans="2:31" ht="15.75" hidden="1" thickBot="1" x14ac:dyDescent="0.3">
      <c r="C39" s="499" t="s">
        <v>328</v>
      </c>
      <c r="D39" s="512">
        <f>+AD73</f>
        <v>32.700000000000003</v>
      </c>
      <c r="G39" s="449"/>
      <c r="H39" s="449"/>
      <c r="J39" s="487"/>
      <c r="K39" s="487"/>
    </row>
    <row r="40" spans="2:31" hidden="1" x14ac:dyDescent="0.25">
      <c r="B40" s="276"/>
      <c r="C40" s="412" t="s">
        <v>252</v>
      </c>
      <c r="D40" s="414"/>
      <c r="G40" s="449"/>
      <c r="H40" s="449"/>
      <c r="J40" s="487"/>
      <c r="K40" s="487"/>
      <c r="AB40" s="276" t="s">
        <v>259</v>
      </c>
      <c r="AC40" s="276">
        <f>+D28</f>
        <v>10</v>
      </c>
      <c r="AD40" s="276">
        <f>+AC40+3*D22</f>
        <v>16.600000000000001</v>
      </c>
      <c r="AE40" s="276">
        <f>+AC40+3*D19</f>
        <v>17.5</v>
      </c>
    </row>
    <row r="41" spans="2:31" hidden="1" x14ac:dyDescent="0.25">
      <c r="B41" s="276"/>
      <c r="G41" s="449"/>
      <c r="H41" s="449"/>
      <c r="J41" s="487"/>
      <c r="K41" s="487"/>
      <c r="AB41" s="276" t="s">
        <v>246</v>
      </c>
      <c r="AC41" s="276">
        <f>+AC40*AC37</f>
        <v>202</v>
      </c>
      <c r="AD41" s="276">
        <f>+AD40*AD37</f>
        <v>444.88000000000005</v>
      </c>
      <c r="AE41" s="276">
        <f>+AE40*AE37</f>
        <v>484.75</v>
      </c>
    </row>
    <row r="42" spans="2:31" hidden="1" x14ac:dyDescent="0.25">
      <c r="B42" s="276"/>
      <c r="C42" s="413" t="s">
        <v>253</v>
      </c>
      <c r="D42" s="415">
        <f>IF(D10="Excavación y Muro",AG53,IF(D10="100% Excavado",((D34+D36)/2*D19),0))</f>
        <v>621.20000000000005</v>
      </c>
      <c r="G42" s="449"/>
      <c r="H42" s="537">
        <f>+D29</f>
        <v>20.2</v>
      </c>
      <c r="J42" s="487"/>
      <c r="K42" s="487"/>
    </row>
    <row r="43" spans="2:31" ht="15.75" hidden="1" thickBot="1" x14ac:dyDescent="0.3">
      <c r="B43" s="276"/>
      <c r="C43" s="416" t="s">
        <v>254</v>
      </c>
      <c r="D43" s="417">
        <f>IF(D10="Excavación y Muro",AG55,IF(D10="100% Muro",AC48*AC50,IF(D10="100% Excavado",0)))</f>
        <v>140.80000000000001</v>
      </c>
      <c r="G43" s="537">
        <f>+D31</f>
        <v>27.7</v>
      </c>
      <c r="H43" s="449"/>
      <c r="J43" s="487"/>
      <c r="K43" s="487"/>
    </row>
    <row r="44" spans="2:31" x14ac:dyDescent="0.25">
      <c r="G44" s="449"/>
      <c r="H44" s="449"/>
      <c r="J44" s="487"/>
      <c r="K44" s="487"/>
    </row>
    <row r="45" spans="2:31" ht="15.75" thickBot="1" x14ac:dyDescent="0.3">
      <c r="G45" s="449"/>
      <c r="H45" s="533"/>
      <c r="I45" s="489"/>
      <c r="J45" s="534"/>
      <c r="K45" s="487"/>
      <c r="AB45" s="409" t="s">
        <v>251</v>
      </c>
    </row>
    <row r="46" spans="2:31" x14ac:dyDescent="0.25">
      <c r="G46" s="449"/>
      <c r="K46" s="487"/>
      <c r="AB46" s="276" t="s">
        <v>258</v>
      </c>
      <c r="AC46" s="276">
        <f>+AE37+3</f>
        <v>30.7</v>
      </c>
    </row>
    <row r="47" spans="2:31" ht="15.75" thickBot="1" x14ac:dyDescent="0.3">
      <c r="G47" s="533"/>
      <c r="H47" s="489"/>
      <c r="I47" s="538">
        <f>+D30</f>
        <v>17.5</v>
      </c>
      <c r="J47" s="489"/>
      <c r="K47" s="534"/>
      <c r="AB47" s="276" t="s">
        <v>259</v>
      </c>
      <c r="AC47" s="276">
        <f>+AE40+3</f>
        <v>20.5</v>
      </c>
    </row>
    <row r="48" spans="2:31" x14ac:dyDescent="0.25">
      <c r="AB48" s="410" t="s">
        <v>251</v>
      </c>
      <c r="AC48" s="410">
        <f>+AC47*2+AC46*2</f>
        <v>102.4</v>
      </c>
    </row>
    <row r="50" spans="28:33" x14ac:dyDescent="0.25">
      <c r="AB50" s="409" t="s">
        <v>262</v>
      </c>
      <c r="AC50" s="276">
        <f>+(D15*D19)+1.5*D19^2</f>
        <v>14.375</v>
      </c>
    </row>
    <row r="52" spans="28:33" x14ac:dyDescent="0.25">
      <c r="AD52" s="276" t="s">
        <v>247</v>
      </c>
      <c r="AE52" s="276" t="s">
        <v>257</v>
      </c>
      <c r="AF52" s="276" t="s">
        <v>246</v>
      </c>
      <c r="AG52" s="276" t="s">
        <v>264</v>
      </c>
    </row>
    <row r="53" spans="28:33" x14ac:dyDescent="0.25">
      <c r="AB53" s="409" t="s">
        <v>263</v>
      </c>
      <c r="AC53" s="276">
        <f>+D12</f>
        <v>2</v>
      </c>
      <c r="AD53" s="276">
        <f>3*AC53+AC37</f>
        <v>26.2</v>
      </c>
      <c r="AE53" s="276">
        <f>3*AC53+AC40</f>
        <v>16</v>
      </c>
      <c r="AF53" s="276">
        <f>+AE53*AD53</f>
        <v>419.2</v>
      </c>
      <c r="AG53" s="409">
        <f>+(AF53+AC41)/2*AC53</f>
        <v>621.20000000000005</v>
      </c>
    </row>
    <row r="54" spans="28:33" x14ac:dyDescent="0.25">
      <c r="AG54" s="276" t="s">
        <v>265</v>
      </c>
    </row>
    <row r="55" spans="28:33" x14ac:dyDescent="0.25">
      <c r="AB55" s="276" t="s">
        <v>262</v>
      </c>
      <c r="AC55" s="276">
        <f>D15*AB56+1.5*AB56^2</f>
        <v>1.375</v>
      </c>
      <c r="AG55" s="276">
        <f>+AC55*AC48</f>
        <v>140.80000000000001</v>
      </c>
    </row>
    <row r="56" spans="28:33" x14ac:dyDescent="0.25">
      <c r="AB56" s="276">
        <f>+D19-AC53</f>
        <v>0.5</v>
      </c>
    </row>
    <row r="59" spans="28:33" x14ac:dyDescent="0.25">
      <c r="AC59" s="276" t="s">
        <v>267</v>
      </c>
      <c r="AD59" s="276" t="s">
        <v>268</v>
      </c>
      <c r="AE59" s="276" t="s">
        <v>269</v>
      </c>
      <c r="AF59" s="276" t="s">
        <v>271</v>
      </c>
    </row>
    <row r="60" spans="28:33" x14ac:dyDescent="0.25">
      <c r="AB60" s="276" t="s">
        <v>266</v>
      </c>
      <c r="AC60" s="409">
        <f>+SQRT(D19^2+(1.5*D19)^2)+2</f>
        <v>6.5069390943299865</v>
      </c>
      <c r="AD60" s="276">
        <f>+AC48</f>
        <v>102.4</v>
      </c>
      <c r="AE60" s="276">
        <f>2*AC37+2*AC40</f>
        <v>60.4</v>
      </c>
      <c r="AF60" s="411">
        <f>+AVERAGE(AD60:AE60)*AC60+AC41</f>
        <v>731.66484227846092</v>
      </c>
    </row>
    <row r="62" spans="28:33" x14ac:dyDescent="0.25">
      <c r="AB62" s="409" t="s">
        <v>272</v>
      </c>
      <c r="AC62" s="409">
        <f>+AC48*0.5*0.5</f>
        <v>25.6</v>
      </c>
    </row>
    <row r="65" spans="28:31" x14ac:dyDescent="0.25">
      <c r="AB65" s="276" t="s">
        <v>276</v>
      </c>
      <c r="AC65" s="276">
        <f>IF(D42="","",D42-D43)</f>
        <v>480.40000000000003</v>
      </c>
    </row>
    <row r="67" spans="28:31" x14ac:dyDescent="0.25">
      <c r="AB67" s="276" t="s">
        <v>281</v>
      </c>
      <c r="AC67" s="276">
        <f>+IF(AC65&lt;0,-1*AC65,0)</f>
        <v>0</v>
      </c>
    </row>
    <row r="70" spans="28:31" x14ac:dyDescent="0.25">
      <c r="AB70" s="276" t="s">
        <v>323</v>
      </c>
    </row>
    <row r="71" spans="28:31" x14ac:dyDescent="0.25">
      <c r="AD71" s="276" t="s">
        <v>326</v>
      </c>
      <c r="AE71" s="276" t="s">
        <v>329</v>
      </c>
    </row>
    <row r="72" spans="28:31" x14ac:dyDescent="0.25">
      <c r="AB72" s="276" t="s">
        <v>324</v>
      </c>
      <c r="AC72" s="404">
        <f>+D28+3*D19</f>
        <v>17.5</v>
      </c>
      <c r="AD72" s="276">
        <f>+AC72+5</f>
        <v>22.5</v>
      </c>
      <c r="AE72" s="276">
        <f>+AD72*2+AD73*2</f>
        <v>110.4</v>
      </c>
    </row>
    <row r="73" spans="28:31" x14ac:dyDescent="0.25">
      <c r="AB73" s="276" t="s">
        <v>325</v>
      </c>
      <c r="AC73" s="404">
        <f>+D29+3*D19</f>
        <v>27.7</v>
      </c>
      <c r="AD73" s="276">
        <f>+AC73+5</f>
        <v>32.700000000000003</v>
      </c>
    </row>
  </sheetData>
  <sheetProtection algorithmName="SHA-512" hashValue="7zyncK9MJLk7e2hIH3tgR0UCxFjYBAuPla5eIgy26k5InelHAzzoVA4FaZUleUWW+shfIrsYyNo/gIBD4l5dUA==" saltValue="ZL2dMIFfUvxFoJ1Oq3iAUg==" spinCount="100000" sheet="1" objects="1" scenarios="1"/>
  <mergeCells count="8">
    <mergeCell ref="C27:D27"/>
    <mergeCell ref="C21:D21"/>
    <mergeCell ref="C13:D13"/>
    <mergeCell ref="C3:D4"/>
    <mergeCell ref="C32:D32"/>
    <mergeCell ref="C17:D17"/>
    <mergeCell ref="C5:D5"/>
    <mergeCell ref="C9:D9"/>
  </mergeCells>
  <dataValidations count="5">
    <dataValidation type="list" allowBlank="1" showInputMessage="1" showErrorMessage="1" sqref="D10" xr:uid="{00000000-0002-0000-0100-000000000000}">
      <formula1>$AE$13:$AE$15</formula1>
    </dataValidation>
    <dataValidation type="list" allowBlank="1" showInputMessage="1" showErrorMessage="1" sqref="D19" xr:uid="{00000000-0002-0000-0100-000001000000}">
      <formula1>$AC$13:$AC$16</formula1>
    </dataValidation>
    <dataValidation type="list" allowBlank="1" showInputMessage="1" showErrorMessage="1" sqref="D11" xr:uid="{00000000-0002-0000-0100-000002000000}">
      <formula1>$AJ$2:$AJ$3</formula1>
    </dataValidation>
    <dataValidation type="list" allowBlank="1" showInputMessage="1" showErrorMessage="1" sqref="D18" xr:uid="{00000000-0002-0000-0100-000003000000}">
      <formula1>$AB$13:$AB$22</formula1>
    </dataValidation>
    <dataValidation type="list" allowBlank="1" showInputMessage="1" showErrorMessage="1" sqref="D24" xr:uid="{00000000-0002-0000-0100-000004000000}">
      <formula1>$AD$13:$AD$17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B2:K39"/>
  <sheetViews>
    <sheetView topLeftCell="A28" workbookViewId="0">
      <selection activeCell="G39" sqref="G39"/>
    </sheetView>
  </sheetViews>
  <sheetFormatPr baseColWidth="10" defaultRowHeight="15" x14ac:dyDescent="0.25"/>
  <cols>
    <col min="2" max="2" width="40.7109375" bestFit="1" customWidth="1"/>
    <col min="3" max="3" width="7.7109375" bestFit="1" customWidth="1"/>
    <col min="4" max="4" width="8.42578125" bestFit="1" customWidth="1"/>
    <col min="5" max="5" width="11.28515625" bestFit="1" customWidth="1"/>
  </cols>
  <sheetData>
    <row r="2" spans="2:7" x14ac:dyDescent="0.25">
      <c r="B2">
        <f>(IF('APU DT-18'!C12&lt;=1000,100,110-0.01*'APU DT-18'!C12))/100</f>
        <v>1</v>
      </c>
    </row>
    <row r="3" spans="2:7" ht="15.75" thickBot="1" x14ac:dyDescent="0.3"/>
    <row r="4" spans="2:7" ht="16.5" thickBot="1" x14ac:dyDescent="0.3">
      <c r="B4" s="677" t="s">
        <v>0</v>
      </c>
      <c r="C4" s="679" t="s">
        <v>192</v>
      </c>
      <c r="D4" s="680"/>
      <c r="E4" s="681"/>
    </row>
    <row r="5" spans="2:7" ht="16.5" thickBot="1" x14ac:dyDescent="0.3">
      <c r="B5" s="678"/>
      <c r="C5" s="360" t="s">
        <v>4</v>
      </c>
      <c r="D5" s="362" t="s">
        <v>193</v>
      </c>
      <c r="E5" s="363" t="s">
        <v>198</v>
      </c>
      <c r="F5" s="362" t="s">
        <v>193</v>
      </c>
      <c r="G5" s="363" t="s">
        <v>198</v>
      </c>
    </row>
    <row r="6" spans="2:7" x14ac:dyDescent="0.25">
      <c r="B6" s="294" t="s">
        <v>9</v>
      </c>
      <c r="C6" s="353" t="s">
        <v>194</v>
      </c>
      <c r="D6" s="354">
        <v>5.5</v>
      </c>
      <c r="E6" s="355">
        <v>7</v>
      </c>
      <c r="F6">
        <f>ROUND($B$2*D6,1)</f>
        <v>5.5</v>
      </c>
      <c r="G6">
        <f>+ROUND(E6*$B$2,1)</f>
        <v>7</v>
      </c>
    </row>
    <row r="7" spans="2:7" x14ac:dyDescent="0.25">
      <c r="B7" s="305" t="s">
        <v>39</v>
      </c>
      <c r="C7" s="346" t="s">
        <v>194</v>
      </c>
      <c r="D7" s="347">
        <v>5.5</v>
      </c>
      <c r="E7" s="348">
        <v>7</v>
      </c>
      <c r="F7">
        <f t="shared" ref="F7:F39" si="0">ROUND($B$2*D7,1)</f>
        <v>5.5</v>
      </c>
      <c r="G7">
        <f t="shared" ref="G7:G39" si="1">+ROUND(E7*$B$2,1)</f>
        <v>7</v>
      </c>
    </row>
    <row r="8" spans="2:7" x14ac:dyDescent="0.25">
      <c r="B8" s="305" t="s">
        <v>50</v>
      </c>
      <c r="C8" s="346" t="s">
        <v>194</v>
      </c>
      <c r="D8" s="347">
        <v>5.5</v>
      </c>
      <c r="E8" s="348">
        <v>7</v>
      </c>
      <c r="F8">
        <f t="shared" si="0"/>
        <v>5.5</v>
      </c>
      <c r="G8">
        <f t="shared" si="1"/>
        <v>7</v>
      </c>
    </row>
    <row r="9" spans="2:7" ht="15.75" thickBot="1" x14ac:dyDescent="0.3">
      <c r="B9" s="306" t="str">
        <f>+'Hormigón $max'!C83</f>
        <v>DESIGNACIÓN</v>
      </c>
      <c r="C9" s="349" t="s">
        <v>194</v>
      </c>
      <c r="D9" s="350">
        <v>5.5</v>
      </c>
      <c r="E9" s="351">
        <v>7</v>
      </c>
      <c r="F9">
        <f t="shared" si="0"/>
        <v>5.5</v>
      </c>
      <c r="G9">
        <f t="shared" si="1"/>
        <v>7</v>
      </c>
    </row>
    <row r="10" spans="2:7" x14ac:dyDescent="0.25">
      <c r="B10" s="304" t="s">
        <v>61</v>
      </c>
      <c r="C10" s="353" t="s">
        <v>195</v>
      </c>
      <c r="D10" s="354">
        <v>88</v>
      </c>
      <c r="E10" s="355">
        <v>110</v>
      </c>
      <c r="F10">
        <f t="shared" si="0"/>
        <v>88</v>
      </c>
      <c r="G10">
        <f t="shared" si="1"/>
        <v>110</v>
      </c>
    </row>
    <row r="11" spans="2:7" x14ac:dyDescent="0.25">
      <c r="B11" s="305" t="s">
        <v>70</v>
      </c>
      <c r="C11" s="346" t="s">
        <v>195</v>
      </c>
      <c r="D11" s="347">
        <v>80</v>
      </c>
      <c r="E11" s="348">
        <v>100</v>
      </c>
      <c r="F11">
        <f t="shared" si="0"/>
        <v>80</v>
      </c>
      <c r="G11">
        <f t="shared" si="1"/>
        <v>100</v>
      </c>
    </row>
    <row r="12" spans="2:7" x14ac:dyDescent="0.25">
      <c r="B12" s="305" t="s">
        <v>71</v>
      </c>
      <c r="C12" s="346" t="s">
        <v>195</v>
      </c>
      <c r="D12" s="347">
        <v>60</v>
      </c>
      <c r="E12" s="348">
        <v>75</v>
      </c>
      <c r="F12">
        <f t="shared" si="0"/>
        <v>60</v>
      </c>
      <c r="G12">
        <f t="shared" si="1"/>
        <v>75</v>
      </c>
    </row>
    <row r="13" spans="2:7" x14ac:dyDescent="0.25">
      <c r="B13" s="305" t="s">
        <v>72</v>
      </c>
      <c r="C13" s="346" t="s">
        <v>195</v>
      </c>
      <c r="D13" s="347">
        <v>52</v>
      </c>
      <c r="E13" s="348">
        <v>65</v>
      </c>
      <c r="F13">
        <f t="shared" si="0"/>
        <v>52</v>
      </c>
      <c r="G13">
        <f t="shared" si="1"/>
        <v>65</v>
      </c>
    </row>
    <row r="14" spans="2:7" x14ac:dyDescent="0.25">
      <c r="B14" s="305" t="s">
        <v>75</v>
      </c>
      <c r="C14" s="346" t="s">
        <v>195</v>
      </c>
      <c r="D14" s="347">
        <v>80</v>
      </c>
      <c r="E14" s="348">
        <v>100</v>
      </c>
      <c r="F14">
        <f t="shared" si="0"/>
        <v>80</v>
      </c>
      <c r="G14">
        <f t="shared" si="1"/>
        <v>100</v>
      </c>
    </row>
    <row r="15" spans="2:7" x14ac:dyDescent="0.25">
      <c r="B15" s="305" t="s">
        <v>76</v>
      </c>
      <c r="C15" s="346" t="s">
        <v>195</v>
      </c>
      <c r="D15" s="347">
        <v>80</v>
      </c>
      <c r="E15" s="348">
        <v>100</v>
      </c>
      <c r="F15">
        <f t="shared" si="0"/>
        <v>80</v>
      </c>
      <c r="G15">
        <f t="shared" si="1"/>
        <v>100</v>
      </c>
    </row>
    <row r="16" spans="2:7" x14ac:dyDescent="0.25">
      <c r="B16" s="305" t="s">
        <v>77</v>
      </c>
      <c r="C16" s="346" t="s">
        <v>195</v>
      </c>
      <c r="D16" s="347">
        <v>60</v>
      </c>
      <c r="E16" s="348">
        <v>75</v>
      </c>
      <c r="F16">
        <f t="shared" si="0"/>
        <v>60</v>
      </c>
      <c r="G16">
        <f t="shared" si="1"/>
        <v>75</v>
      </c>
    </row>
    <row r="17" spans="2:11" x14ac:dyDescent="0.25">
      <c r="B17" s="305" t="s">
        <v>78</v>
      </c>
      <c r="C17" s="346" t="s">
        <v>195</v>
      </c>
      <c r="D17" s="347">
        <v>52</v>
      </c>
      <c r="E17" s="348">
        <v>65</v>
      </c>
      <c r="F17">
        <f t="shared" si="0"/>
        <v>52</v>
      </c>
      <c r="G17">
        <f t="shared" si="1"/>
        <v>65</v>
      </c>
      <c r="J17">
        <v>1000</v>
      </c>
      <c r="K17">
        <v>100</v>
      </c>
    </row>
    <row r="18" spans="2:11" x14ac:dyDescent="0.25">
      <c r="B18" s="305" t="s">
        <v>80</v>
      </c>
      <c r="C18" s="346" t="s">
        <v>196</v>
      </c>
      <c r="D18" s="347">
        <v>52</v>
      </c>
      <c r="E18" s="348">
        <v>65</v>
      </c>
      <c r="F18">
        <f t="shared" si="0"/>
        <v>52</v>
      </c>
      <c r="G18">
        <f t="shared" si="1"/>
        <v>65</v>
      </c>
      <c r="J18">
        <v>2000</v>
      </c>
      <c r="K18">
        <v>90</v>
      </c>
    </row>
    <row r="19" spans="2:11" x14ac:dyDescent="0.25">
      <c r="B19" s="305" t="s">
        <v>81</v>
      </c>
      <c r="C19" s="346" t="s">
        <v>196</v>
      </c>
      <c r="D19" s="347">
        <v>52</v>
      </c>
      <c r="E19" s="348">
        <v>65</v>
      </c>
      <c r="F19">
        <f t="shared" si="0"/>
        <v>52</v>
      </c>
      <c r="G19">
        <f t="shared" si="1"/>
        <v>65</v>
      </c>
      <c r="J19">
        <v>3000</v>
      </c>
      <c r="K19">
        <v>80</v>
      </c>
    </row>
    <row r="20" spans="2:11" x14ac:dyDescent="0.25">
      <c r="B20" s="305" t="s">
        <v>82</v>
      </c>
      <c r="C20" s="346" t="s">
        <v>196</v>
      </c>
      <c r="D20" s="347">
        <v>52</v>
      </c>
      <c r="E20" s="348">
        <v>65</v>
      </c>
      <c r="F20">
        <f t="shared" si="0"/>
        <v>52</v>
      </c>
      <c r="G20">
        <f t="shared" si="1"/>
        <v>65</v>
      </c>
      <c r="J20">
        <v>4000</v>
      </c>
      <c r="K20">
        <v>70</v>
      </c>
    </row>
    <row r="21" spans="2:11" x14ac:dyDescent="0.25">
      <c r="B21" s="305" t="s">
        <v>128</v>
      </c>
      <c r="C21" s="346" t="s">
        <v>196</v>
      </c>
      <c r="D21" s="347">
        <v>41</v>
      </c>
      <c r="E21" s="348">
        <v>52</v>
      </c>
      <c r="F21">
        <f t="shared" si="0"/>
        <v>41</v>
      </c>
      <c r="G21">
        <f t="shared" si="1"/>
        <v>52</v>
      </c>
      <c r="J21">
        <v>5000</v>
      </c>
      <c r="K21">
        <v>60</v>
      </c>
    </row>
    <row r="22" spans="2:11" ht="15.75" thickBot="1" x14ac:dyDescent="0.3">
      <c r="B22" s="306" t="s">
        <v>83</v>
      </c>
      <c r="C22" s="349" t="s">
        <v>196</v>
      </c>
      <c r="D22" s="350">
        <v>41</v>
      </c>
      <c r="E22" s="351">
        <v>52</v>
      </c>
      <c r="F22">
        <f t="shared" si="0"/>
        <v>41</v>
      </c>
      <c r="G22">
        <f t="shared" si="1"/>
        <v>52</v>
      </c>
    </row>
    <row r="23" spans="2:11" ht="30" x14ac:dyDescent="0.25">
      <c r="B23" s="304" t="s">
        <v>199</v>
      </c>
      <c r="C23" s="353" t="s">
        <v>196</v>
      </c>
      <c r="D23" s="354">
        <v>26</v>
      </c>
      <c r="E23" s="355">
        <v>33</v>
      </c>
      <c r="F23">
        <f t="shared" si="0"/>
        <v>26</v>
      </c>
      <c r="G23">
        <f t="shared" si="1"/>
        <v>33</v>
      </c>
    </row>
    <row r="24" spans="2:11" ht="30.75" thickBot="1" x14ac:dyDescent="0.3">
      <c r="B24" s="306" t="s">
        <v>200</v>
      </c>
      <c r="C24" s="349" t="s">
        <v>196</v>
      </c>
      <c r="D24" s="350">
        <v>26</v>
      </c>
      <c r="E24" s="351">
        <v>33</v>
      </c>
      <c r="F24">
        <f t="shared" si="0"/>
        <v>26</v>
      </c>
      <c r="G24">
        <f t="shared" si="1"/>
        <v>33</v>
      </c>
    </row>
    <row r="25" spans="2:11" ht="15.75" thickBot="1" x14ac:dyDescent="0.3">
      <c r="B25" s="356" t="s">
        <v>204</v>
      </c>
      <c r="C25" s="357" t="s">
        <v>203</v>
      </c>
      <c r="D25" s="358">
        <v>105</v>
      </c>
      <c r="E25" s="359">
        <v>120</v>
      </c>
      <c r="F25">
        <f t="shared" si="0"/>
        <v>105</v>
      </c>
      <c r="G25">
        <f t="shared" si="1"/>
        <v>120</v>
      </c>
    </row>
    <row r="26" spans="2:11" x14ac:dyDescent="0.25">
      <c r="B26" s="352" t="s">
        <v>102</v>
      </c>
      <c r="C26" s="343" t="s">
        <v>197</v>
      </c>
      <c r="D26" s="344">
        <v>9</v>
      </c>
      <c r="E26" s="345">
        <v>12</v>
      </c>
      <c r="F26">
        <f t="shared" si="0"/>
        <v>9</v>
      </c>
      <c r="G26">
        <f t="shared" si="1"/>
        <v>12</v>
      </c>
    </row>
    <row r="27" spans="2:11" ht="30" x14ac:dyDescent="0.25">
      <c r="B27" s="305" t="s">
        <v>136</v>
      </c>
      <c r="C27" s="346" t="s">
        <v>194</v>
      </c>
      <c r="D27" s="347">
        <v>3.5</v>
      </c>
      <c r="E27" s="348">
        <v>4.5</v>
      </c>
      <c r="F27">
        <f t="shared" si="0"/>
        <v>3.5</v>
      </c>
      <c r="G27">
        <f t="shared" si="1"/>
        <v>4.5</v>
      </c>
    </row>
    <row r="28" spans="2:11" x14ac:dyDescent="0.25">
      <c r="B28" s="305" t="s">
        <v>135</v>
      </c>
      <c r="C28" s="346" t="s">
        <v>194</v>
      </c>
      <c r="D28" s="347">
        <v>2</v>
      </c>
      <c r="E28" s="348">
        <v>2.5</v>
      </c>
      <c r="F28">
        <f t="shared" si="0"/>
        <v>2</v>
      </c>
      <c r="G28">
        <f t="shared" si="1"/>
        <v>2.5</v>
      </c>
    </row>
    <row r="29" spans="2:11" ht="30" x14ac:dyDescent="0.25">
      <c r="B29" s="305" t="s">
        <v>139</v>
      </c>
      <c r="C29" s="346" t="s">
        <v>194</v>
      </c>
      <c r="D29" s="347">
        <v>4.5</v>
      </c>
      <c r="E29" s="348">
        <v>6</v>
      </c>
      <c r="F29">
        <f t="shared" si="0"/>
        <v>4.5</v>
      </c>
      <c r="G29">
        <f t="shared" si="1"/>
        <v>6</v>
      </c>
    </row>
    <row r="30" spans="2:11" x14ac:dyDescent="0.25">
      <c r="B30" s="305" t="s">
        <v>117</v>
      </c>
      <c r="C30" s="346" t="s">
        <v>194</v>
      </c>
      <c r="D30" s="347">
        <v>8</v>
      </c>
      <c r="E30" s="348">
        <v>10</v>
      </c>
      <c r="F30">
        <f t="shared" si="0"/>
        <v>8</v>
      </c>
      <c r="G30">
        <f t="shared" si="1"/>
        <v>10</v>
      </c>
    </row>
    <row r="31" spans="2:11" x14ac:dyDescent="0.25">
      <c r="B31" s="305" t="s">
        <v>163</v>
      </c>
      <c r="C31" s="346" t="s">
        <v>197</v>
      </c>
      <c r="D31" s="347">
        <v>40</v>
      </c>
      <c r="E31" s="348">
        <v>50</v>
      </c>
      <c r="F31">
        <f t="shared" si="0"/>
        <v>40</v>
      </c>
      <c r="G31">
        <f t="shared" si="1"/>
        <v>50</v>
      </c>
    </row>
    <row r="32" spans="2:11" ht="30" x14ac:dyDescent="0.25">
      <c r="B32" s="305" t="s">
        <v>167</v>
      </c>
      <c r="C32" s="346" t="s">
        <v>197</v>
      </c>
      <c r="D32" s="347">
        <v>9.5</v>
      </c>
      <c r="E32" s="348">
        <v>12</v>
      </c>
      <c r="F32">
        <f t="shared" si="0"/>
        <v>9.5</v>
      </c>
      <c r="G32">
        <f t="shared" si="1"/>
        <v>12</v>
      </c>
    </row>
    <row r="33" spans="2:7" ht="45" x14ac:dyDescent="0.25">
      <c r="B33" s="305" t="s">
        <v>164</v>
      </c>
      <c r="C33" s="346" t="s">
        <v>197</v>
      </c>
      <c r="D33" s="347">
        <v>22</v>
      </c>
      <c r="E33" s="348">
        <v>28</v>
      </c>
      <c r="F33">
        <f t="shared" si="0"/>
        <v>22</v>
      </c>
      <c r="G33">
        <f t="shared" si="1"/>
        <v>28</v>
      </c>
    </row>
    <row r="34" spans="2:7" ht="45" x14ac:dyDescent="0.25">
      <c r="B34" s="305" t="s">
        <v>165</v>
      </c>
      <c r="C34" s="346" t="s">
        <v>197</v>
      </c>
      <c r="D34" s="347">
        <v>19</v>
      </c>
      <c r="E34" s="348">
        <v>24</v>
      </c>
      <c r="F34">
        <f t="shared" si="0"/>
        <v>19</v>
      </c>
      <c r="G34">
        <f t="shared" si="1"/>
        <v>24</v>
      </c>
    </row>
    <row r="35" spans="2:7" ht="30" x14ac:dyDescent="0.25">
      <c r="B35" s="305" t="s">
        <v>173</v>
      </c>
      <c r="C35" s="346" t="s">
        <v>197</v>
      </c>
      <c r="D35" s="347">
        <v>22</v>
      </c>
      <c r="E35" s="348">
        <v>28</v>
      </c>
      <c r="F35">
        <f t="shared" si="0"/>
        <v>22</v>
      </c>
      <c r="G35">
        <f t="shared" si="1"/>
        <v>28</v>
      </c>
    </row>
    <row r="36" spans="2:7" ht="45" x14ac:dyDescent="0.25">
      <c r="B36" s="305" t="s">
        <v>166</v>
      </c>
      <c r="C36" s="346" t="s">
        <v>197</v>
      </c>
      <c r="D36" s="347">
        <v>56</v>
      </c>
      <c r="E36" s="348">
        <v>70</v>
      </c>
      <c r="F36">
        <f t="shared" si="0"/>
        <v>56</v>
      </c>
      <c r="G36">
        <f t="shared" si="1"/>
        <v>70</v>
      </c>
    </row>
    <row r="37" spans="2:7" x14ac:dyDescent="0.25">
      <c r="B37" s="305" t="s">
        <v>170</v>
      </c>
      <c r="C37" s="346" t="s">
        <v>194</v>
      </c>
      <c r="D37" s="347">
        <v>82</v>
      </c>
      <c r="E37" s="348">
        <v>102</v>
      </c>
      <c r="F37">
        <f t="shared" si="0"/>
        <v>82</v>
      </c>
      <c r="G37">
        <f t="shared" si="1"/>
        <v>102</v>
      </c>
    </row>
    <row r="38" spans="2:7" ht="15.75" thickBot="1" x14ac:dyDescent="0.3">
      <c r="B38" s="306" t="s">
        <v>172</v>
      </c>
      <c r="C38" s="349" t="s">
        <v>194</v>
      </c>
      <c r="D38" s="350">
        <v>163</v>
      </c>
      <c r="E38" s="351">
        <v>204</v>
      </c>
      <c r="F38">
        <f t="shared" si="0"/>
        <v>163</v>
      </c>
      <c r="G38">
        <f t="shared" si="1"/>
        <v>204</v>
      </c>
    </row>
    <row r="39" spans="2:7" ht="15.75" thickBot="1" x14ac:dyDescent="0.3">
      <c r="B39" s="208" t="s">
        <v>227</v>
      </c>
      <c r="C39" s="349" t="s">
        <v>194</v>
      </c>
      <c r="D39" s="396">
        <v>15</v>
      </c>
      <c r="E39" s="397">
        <v>20</v>
      </c>
      <c r="F39">
        <f t="shared" si="0"/>
        <v>15</v>
      </c>
      <c r="G39">
        <f t="shared" si="1"/>
        <v>20</v>
      </c>
    </row>
  </sheetData>
  <mergeCells count="2">
    <mergeCell ref="B4:B5"/>
    <mergeCell ref="C4:E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9"/>
  <dimension ref="B2:D39"/>
  <sheetViews>
    <sheetView workbookViewId="0">
      <selection activeCell="C26" sqref="C26"/>
    </sheetView>
  </sheetViews>
  <sheetFormatPr baseColWidth="10" defaultRowHeight="15" x14ac:dyDescent="0.25"/>
  <cols>
    <col min="2" max="2" width="45.5703125" bestFit="1" customWidth="1"/>
    <col min="3" max="3" width="15" bestFit="1" customWidth="1"/>
    <col min="4" max="4" width="15.5703125" bestFit="1" customWidth="1"/>
  </cols>
  <sheetData>
    <row r="2" spans="2:4" ht="15.75" thickBot="1" x14ac:dyDescent="0.3"/>
    <row r="3" spans="2:4" ht="16.5" thickBot="1" x14ac:dyDescent="0.3">
      <c r="B3" s="360" t="s">
        <v>177</v>
      </c>
      <c r="C3" s="322" t="s">
        <v>188</v>
      </c>
      <c r="D3" s="326" t="s">
        <v>189</v>
      </c>
    </row>
    <row r="4" spans="2:4" x14ac:dyDescent="0.25">
      <c r="B4" s="370" t="s">
        <v>178</v>
      </c>
      <c r="C4" s="323">
        <v>20142</v>
      </c>
      <c r="D4" s="377">
        <v>21535</v>
      </c>
    </row>
    <row r="5" spans="2:4" x14ac:dyDescent="0.25">
      <c r="B5" s="371" t="s">
        <v>179</v>
      </c>
      <c r="C5" s="323">
        <v>14806</v>
      </c>
      <c r="D5" s="377">
        <v>16492</v>
      </c>
    </row>
    <row r="6" spans="2:4" x14ac:dyDescent="0.25">
      <c r="B6" s="371" t="s">
        <v>180</v>
      </c>
      <c r="C6" s="323">
        <v>12114</v>
      </c>
      <c r="D6" s="377">
        <v>14501</v>
      </c>
    </row>
    <row r="7" spans="2:4" x14ac:dyDescent="0.25">
      <c r="B7" s="371" t="s">
        <v>181</v>
      </c>
      <c r="C7" s="323">
        <v>11846</v>
      </c>
      <c r="D7" s="377">
        <v>11846</v>
      </c>
    </row>
    <row r="8" spans="2:4" ht="15.75" thickBot="1" x14ac:dyDescent="0.3">
      <c r="B8" s="372" t="s">
        <v>182</v>
      </c>
      <c r="C8" s="327">
        <v>10187</v>
      </c>
      <c r="D8" s="377">
        <v>10187</v>
      </c>
    </row>
    <row r="9" spans="2:4" ht="16.5" thickBot="1" x14ac:dyDescent="0.3">
      <c r="B9" s="360" t="s">
        <v>183</v>
      </c>
      <c r="C9" s="322" t="s">
        <v>188</v>
      </c>
      <c r="D9" s="326" t="s">
        <v>189</v>
      </c>
    </row>
    <row r="10" spans="2:4" x14ac:dyDescent="0.25">
      <c r="B10" s="317" t="str">
        <f>+'Hormigón $max'!C31</f>
        <v>ESTANQUE 9000 lts</v>
      </c>
      <c r="C10" s="323">
        <v>8500</v>
      </c>
      <c r="D10" s="377">
        <v>9500</v>
      </c>
    </row>
    <row r="11" spans="2:4" x14ac:dyDescent="0.25">
      <c r="B11" s="317" t="str">
        <f>+'Hormigón $max'!C32</f>
        <v>TROMPO CONCRETERO 150lt BEN.</v>
      </c>
      <c r="C11" s="323">
        <v>12500</v>
      </c>
      <c r="D11" s="377">
        <v>14200</v>
      </c>
    </row>
    <row r="12" spans="2:4" x14ac:dyDescent="0.25">
      <c r="B12" s="317" t="str">
        <f>+'Hormigón $max'!C39</f>
        <v>VIBRADOR DE INMERSION - 25,35,45mm</v>
      </c>
      <c r="C12" s="323">
        <v>5356</v>
      </c>
      <c r="D12" s="377">
        <v>6500</v>
      </c>
    </row>
    <row r="13" spans="2:4" x14ac:dyDescent="0.25">
      <c r="B13" s="317" t="str">
        <f>+'Mov. Tierras $max'!C7</f>
        <v>RETROEXCAVADORA 4X4</v>
      </c>
      <c r="C13" s="323">
        <v>16000</v>
      </c>
      <c r="D13" s="377">
        <v>17029</v>
      </c>
    </row>
    <row r="14" spans="2:4" x14ac:dyDescent="0.25">
      <c r="B14" s="317" t="str">
        <f>+'Mov. Tierras $max'!C38</f>
        <v>PLACA COMPACTADORA 80 KG. (50 x 50cm)</v>
      </c>
      <c r="C14" s="323">
        <v>15000</v>
      </c>
      <c r="D14" s="377">
        <v>19556</v>
      </c>
    </row>
    <row r="15" spans="2:4" x14ac:dyDescent="0.25">
      <c r="B15" s="317" t="str">
        <f>+'Mov. Tierras $max'!C64</f>
        <v>BULLDOZER D-4E(incluye operador y combustible)</v>
      </c>
      <c r="C15" s="323">
        <v>32556</v>
      </c>
      <c r="D15" s="377">
        <v>45000</v>
      </c>
    </row>
    <row r="16" spans="2:4" x14ac:dyDescent="0.25">
      <c r="B16" s="317" t="str">
        <f>+'Mov. Tierras $max'!C98</f>
        <v>CAMION TOLVA 7 m3 ( Incluye operador</v>
      </c>
      <c r="C16" s="323">
        <v>145000</v>
      </c>
      <c r="D16" s="377">
        <v>160000</v>
      </c>
    </row>
    <row r="17" spans="2:4" x14ac:dyDescent="0.25">
      <c r="B17" s="317" t="str">
        <f>+'Mov. Tierras $max'!C122</f>
        <v>ROD. BOMAG 7000 kg (DIN.15000 kg)</v>
      </c>
      <c r="C17" s="323">
        <v>37000</v>
      </c>
      <c r="D17" s="377">
        <v>50000</v>
      </c>
    </row>
    <row r="18" spans="2:4" ht="15.75" thickBot="1" x14ac:dyDescent="0.3">
      <c r="B18" s="318" t="str">
        <f>+'Mov. Tierras $max'!C126</f>
        <v>CAMION AGUA MACK ALJIBE 10000 lt</v>
      </c>
      <c r="C18" s="327">
        <v>47501</v>
      </c>
      <c r="D18" s="377">
        <v>50000</v>
      </c>
    </row>
    <row r="19" spans="2:4" ht="16.5" thickBot="1" x14ac:dyDescent="0.3">
      <c r="B19" s="360" t="s">
        <v>184</v>
      </c>
      <c r="C19" s="322" t="s">
        <v>188</v>
      </c>
      <c r="D19" s="326" t="s">
        <v>189</v>
      </c>
    </row>
    <row r="20" spans="2:4" x14ac:dyDescent="0.25">
      <c r="B20" s="373" t="str">
        <f>+'Hormigón $max'!C9</f>
        <v>COMBUSTIBLE Y ACEITE</v>
      </c>
      <c r="C20" s="374">
        <v>900</v>
      </c>
      <c r="D20" s="378">
        <v>950</v>
      </c>
    </row>
    <row r="21" spans="2:4" x14ac:dyDescent="0.25">
      <c r="B21" s="373" t="str">
        <f>+'Hormigón $max'!C10</f>
        <v xml:space="preserve">RIPIO </v>
      </c>
      <c r="C21" s="374">
        <v>5552</v>
      </c>
      <c r="D21" s="378">
        <v>6200</v>
      </c>
    </row>
    <row r="22" spans="2:4" x14ac:dyDescent="0.25">
      <c r="B22" s="373" t="str">
        <f>+'Hormigón $max'!C11</f>
        <v>ARENA</v>
      </c>
      <c r="C22" s="374">
        <v>5500</v>
      </c>
      <c r="D22" s="378">
        <v>6500</v>
      </c>
    </row>
    <row r="23" spans="2:4" x14ac:dyDescent="0.25">
      <c r="B23" s="373" t="str">
        <f>+'Hormigón $max'!C12</f>
        <v xml:space="preserve">CEMENTO MELON ESPECIAL SACO </v>
      </c>
      <c r="C23" s="374">
        <v>3055</v>
      </c>
      <c r="D23" s="378">
        <v>3475</v>
      </c>
    </row>
    <row r="24" spans="2:4" x14ac:dyDescent="0.25">
      <c r="B24" s="373" t="str">
        <f>+'Hormigón $max'!C40</f>
        <v>SIKACURE 116 (MEMBRANA DE CURADO)</v>
      </c>
      <c r="C24" s="374">
        <v>1756</v>
      </c>
      <c r="D24" s="378">
        <v>2560</v>
      </c>
    </row>
    <row r="25" spans="2:4" x14ac:dyDescent="0.25">
      <c r="B25" s="373" t="str">
        <f>+'Acero $max'!C6</f>
        <v>Acero A-44-28 incluye flete y 10% pérdida</v>
      </c>
      <c r="C25" s="374">
        <v>512</v>
      </c>
      <c r="D25" s="378">
        <v>550</v>
      </c>
    </row>
    <row r="26" spans="2:4" x14ac:dyDescent="0.25">
      <c r="B26" s="373" t="str">
        <f>+'Acero $max'!C60</f>
        <v>ACERO A - 63-42 Ø 8 - Ø 10 mm</v>
      </c>
      <c r="C26" s="374">
        <v>623</v>
      </c>
      <c r="D26" s="378">
        <v>650</v>
      </c>
    </row>
    <row r="27" spans="2:4" x14ac:dyDescent="0.25">
      <c r="B27" s="373" t="str">
        <f>+'Acero $max'!C7</f>
        <v>ALAMB. BWG #18 x 50</v>
      </c>
      <c r="C27" s="374">
        <v>872</v>
      </c>
      <c r="D27" s="378">
        <v>872</v>
      </c>
    </row>
    <row r="28" spans="2:4" x14ac:dyDescent="0.25">
      <c r="B28" s="373" t="str">
        <f>+'Acero $max'!C118</f>
        <v xml:space="preserve">MALLA ACMA C-92 (2,6 x 5 m) </v>
      </c>
      <c r="C28" s="374">
        <v>20295</v>
      </c>
      <c r="D28" s="378">
        <v>22392</v>
      </c>
    </row>
    <row r="29" spans="2:4" x14ac:dyDescent="0.25">
      <c r="B29" s="373" t="str">
        <f>+'Acero $max'!C132</f>
        <v xml:space="preserve">MALLA ACMA C-139 (2,6 x 5 m) </v>
      </c>
      <c r="C29" s="374">
        <v>30643</v>
      </c>
      <c r="D29" s="378">
        <v>31298</v>
      </c>
    </row>
    <row r="30" spans="2:4" x14ac:dyDescent="0.25">
      <c r="B30" s="373" t="str">
        <f>+'Acero $max'!C146</f>
        <v>MALLA ACMA C-188 (2,6 x 5 m) 28.34 kg</v>
      </c>
      <c r="C30" s="374">
        <v>42106</v>
      </c>
      <c r="D30" s="378">
        <v>45034</v>
      </c>
    </row>
    <row r="31" spans="2:4" x14ac:dyDescent="0.25">
      <c r="B31" s="373" t="str">
        <f>+'Acero $max'!C160</f>
        <v xml:space="preserve">MALLA ACMA C-196 (2,6 x 5 m) </v>
      </c>
      <c r="C31" s="374">
        <v>43293</v>
      </c>
      <c r="D31" s="378">
        <v>45250</v>
      </c>
    </row>
    <row r="32" spans="2:4" x14ac:dyDescent="0.25">
      <c r="B32" s="373" t="str">
        <f>+'Acero $max'!C174</f>
        <v xml:space="preserve">MALLA ACMA C-257 (2,6 x 5 m) </v>
      </c>
      <c r="C32" s="374">
        <v>57261</v>
      </c>
      <c r="D32" s="378">
        <v>61627</v>
      </c>
    </row>
    <row r="33" spans="2:4" x14ac:dyDescent="0.25">
      <c r="B33" s="373" t="str">
        <f>+'Moldaje $max'!C7</f>
        <v>PLACA 12  mm (3 USOS)</v>
      </c>
      <c r="C33" s="374">
        <v>10689</v>
      </c>
      <c r="D33" s="378">
        <v>14764</v>
      </c>
    </row>
    <row r="34" spans="2:4" x14ac:dyDescent="0.25">
      <c r="B34" s="373" t="str">
        <f>+'Moldaje $max'!C8</f>
        <v xml:space="preserve">PINO BRUTO - L = 3,2 m </v>
      </c>
      <c r="C34" s="374">
        <v>1209</v>
      </c>
      <c r="D34" s="378">
        <v>3102</v>
      </c>
    </row>
    <row r="35" spans="2:4" x14ac:dyDescent="0.25">
      <c r="B35" s="373" t="str">
        <f>+'Moldaje $max'!C19:C19</f>
        <v>ALAMB. BWG #14 x 50</v>
      </c>
      <c r="C35" s="374">
        <v>872</v>
      </c>
      <c r="D35" s="378">
        <v>872</v>
      </c>
    </row>
    <row r="36" spans="2:4" x14ac:dyDescent="0.25">
      <c r="B36" s="373" t="str">
        <f>+'Moldaje $max'!C20</f>
        <v>CLAVO CORRIENTE 2"</v>
      </c>
      <c r="C36" s="374">
        <v>882</v>
      </c>
      <c r="D36" s="378">
        <v>882</v>
      </c>
    </row>
    <row r="37" spans="2:4" x14ac:dyDescent="0.25">
      <c r="B37" s="373" t="str">
        <f>+'Moldaje $max'!C21</f>
        <v>SEPARADOR RUEDA 16 B/100</v>
      </c>
      <c r="C37" s="374">
        <v>25</v>
      </c>
      <c r="D37" s="378">
        <v>25</v>
      </c>
    </row>
    <row r="38" spans="2:4" ht="15.75" thickBot="1" x14ac:dyDescent="0.3">
      <c r="B38" s="375" t="str">
        <f>+'Moldaje $max'!C26</f>
        <v>ADIDESMOLD MADERA (TAM.180)</v>
      </c>
      <c r="C38" s="376">
        <v>2000</v>
      </c>
      <c r="D38" s="378">
        <v>2000</v>
      </c>
    </row>
    <row r="39" spans="2:4" ht="15.75" thickBot="1" x14ac:dyDescent="0.3">
      <c r="B39" s="379" t="s">
        <v>204</v>
      </c>
      <c r="C39" s="380">
        <v>4785</v>
      </c>
      <c r="D39" s="381">
        <v>5300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/>
  <dimension ref="A2:D38"/>
  <sheetViews>
    <sheetView workbookViewId="0">
      <selection activeCell="D38" sqref="D38"/>
    </sheetView>
  </sheetViews>
  <sheetFormatPr baseColWidth="10" defaultRowHeight="15" x14ac:dyDescent="0.25"/>
  <cols>
    <col min="1" max="1" width="40.7109375" bestFit="1" customWidth="1"/>
  </cols>
  <sheetData>
    <row r="2" spans="2:4" ht="15.75" thickBot="1" x14ac:dyDescent="0.3"/>
    <row r="3" spans="2:4" ht="16.5" thickBot="1" x14ac:dyDescent="0.3">
      <c r="B3" s="679" t="s">
        <v>192</v>
      </c>
      <c r="C3" s="680"/>
      <c r="D3" s="681"/>
    </row>
    <row r="4" spans="2:4" ht="16.5" thickBot="1" x14ac:dyDescent="0.3">
      <c r="B4" s="360" t="s">
        <v>4</v>
      </c>
      <c r="C4" s="362" t="s">
        <v>193</v>
      </c>
      <c r="D4" s="363" t="s">
        <v>198</v>
      </c>
    </row>
    <row r="5" spans="2:4" ht="15.75" thickBot="1" x14ac:dyDescent="0.3">
      <c r="B5" s="353" t="s">
        <v>194</v>
      </c>
      <c r="C5" s="354">
        <f>+'Factor altura'!F6</f>
        <v>5.5</v>
      </c>
      <c r="D5" s="355">
        <f>+'Factor altura'!G6</f>
        <v>7</v>
      </c>
    </row>
    <row r="6" spans="2:4" ht="15.75" thickBot="1" x14ac:dyDescent="0.3">
      <c r="B6" s="346" t="s">
        <v>194</v>
      </c>
      <c r="C6" s="354">
        <f>+'Factor altura'!F7</f>
        <v>5.5</v>
      </c>
      <c r="D6" s="355">
        <f>+'Factor altura'!G7</f>
        <v>7</v>
      </c>
    </row>
    <row r="7" spans="2:4" ht="15.75" thickBot="1" x14ac:dyDescent="0.3">
      <c r="B7" s="346" t="s">
        <v>194</v>
      </c>
      <c r="C7" s="354">
        <f>+'Factor altura'!F8</f>
        <v>5.5</v>
      </c>
      <c r="D7" s="355">
        <f>+'Factor altura'!G8</f>
        <v>7</v>
      </c>
    </row>
    <row r="8" spans="2:4" ht="15.75" thickBot="1" x14ac:dyDescent="0.3">
      <c r="B8" s="349" t="s">
        <v>194</v>
      </c>
      <c r="C8" s="354">
        <f>+'Factor altura'!F9</f>
        <v>5.5</v>
      </c>
      <c r="D8" s="355">
        <f>+'Factor altura'!G9</f>
        <v>7</v>
      </c>
    </row>
    <row r="9" spans="2:4" ht="15.75" thickBot="1" x14ac:dyDescent="0.3">
      <c r="B9" s="353" t="s">
        <v>195</v>
      </c>
      <c r="C9" s="354">
        <f>+'Factor altura'!F10</f>
        <v>88</v>
      </c>
      <c r="D9" s="355">
        <f>+'Factor altura'!G10</f>
        <v>110</v>
      </c>
    </row>
    <row r="10" spans="2:4" ht="15.75" thickBot="1" x14ac:dyDescent="0.3">
      <c r="B10" s="346" t="s">
        <v>195</v>
      </c>
      <c r="C10" s="354">
        <f>+'Factor altura'!F11</f>
        <v>80</v>
      </c>
      <c r="D10" s="355">
        <f>+'Factor altura'!G11</f>
        <v>100</v>
      </c>
    </row>
    <row r="11" spans="2:4" ht="15.75" thickBot="1" x14ac:dyDescent="0.3">
      <c r="B11" s="346" t="s">
        <v>195</v>
      </c>
      <c r="C11" s="354">
        <f>+'Factor altura'!F12</f>
        <v>60</v>
      </c>
      <c r="D11" s="355">
        <f>+'Factor altura'!G12</f>
        <v>75</v>
      </c>
    </row>
    <row r="12" spans="2:4" ht="15.75" thickBot="1" x14ac:dyDescent="0.3">
      <c r="B12" s="346" t="s">
        <v>195</v>
      </c>
      <c r="C12" s="354">
        <f>+'Factor altura'!F13</f>
        <v>52</v>
      </c>
      <c r="D12" s="355">
        <f>+'Factor altura'!G13</f>
        <v>65</v>
      </c>
    </row>
    <row r="13" spans="2:4" ht="15.75" thickBot="1" x14ac:dyDescent="0.3">
      <c r="B13" s="346" t="s">
        <v>195</v>
      </c>
      <c r="C13" s="354">
        <f>+'Factor altura'!F14</f>
        <v>80</v>
      </c>
      <c r="D13" s="355">
        <f>+'Factor altura'!G14</f>
        <v>100</v>
      </c>
    </row>
    <row r="14" spans="2:4" ht="15.75" thickBot="1" x14ac:dyDescent="0.3">
      <c r="B14" s="346" t="s">
        <v>195</v>
      </c>
      <c r="C14" s="354">
        <f>+'Factor altura'!F15</f>
        <v>80</v>
      </c>
      <c r="D14" s="355">
        <f>+'Factor altura'!G15</f>
        <v>100</v>
      </c>
    </row>
    <row r="15" spans="2:4" ht="15.75" thickBot="1" x14ac:dyDescent="0.3">
      <c r="B15" s="346" t="s">
        <v>195</v>
      </c>
      <c r="C15" s="354">
        <f>+'Factor altura'!F16</f>
        <v>60</v>
      </c>
      <c r="D15" s="355">
        <f>+'Factor altura'!G16</f>
        <v>75</v>
      </c>
    </row>
    <row r="16" spans="2:4" ht="15.75" thickBot="1" x14ac:dyDescent="0.3">
      <c r="B16" s="346" t="s">
        <v>195</v>
      </c>
      <c r="C16" s="354">
        <f>+'Factor altura'!F17</f>
        <v>52</v>
      </c>
      <c r="D16" s="355">
        <f>+'Factor altura'!G17</f>
        <v>65</v>
      </c>
    </row>
    <row r="17" spans="2:4" ht="15.75" thickBot="1" x14ac:dyDescent="0.3">
      <c r="B17" s="346" t="s">
        <v>196</v>
      </c>
      <c r="C17" s="354">
        <f>+'Factor altura'!F18</f>
        <v>52</v>
      </c>
      <c r="D17" s="355">
        <f>+'Factor altura'!G18</f>
        <v>65</v>
      </c>
    </row>
    <row r="18" spans="2:4" ht="15.75" thickBot="1" x14ac:dyDescent="0.3">
      <c r="B18" s="346" t="s">
        <v>196</v>
      </c>
      <c r="C18" s="354">
        <f>+'Factor altura'!F19</f>
        <v>52</v>
      </c>
      <c r="D18" s="355">
        <f>+'Factor altura'!G19</f>
        <v>65</v>
      </c>
    </row>
    <row r="19" spans="2:4" ht="15.75" thickBot="1" x14ac:dyDescent="0.3">
      <c r="B19" s="346" t="s">
        <v>196</v>
      </c>
      <c r="C19" s="354">
        <f>+'Factor altura'!F20</f>
        <v>52</v>
      </c>
      <c r="D19" s="355">
        <f>+'Factor altura'!G20</f>
        <v>65</v>
      </c>
    </row>
    <row r="20" spans="2:4" ht="15.75" thickBot="1" x14ac:dyDescent="0.3">
      <c r="B20" s="346" t="s">
        <v>196</v>
      </c>
      <c r="C20" s="354">
        <f>+'Factor altura'!F21</f>
        <v>41</v>
      </c>
      <c r="D20" s="355">
        <f>+'Factor altura'!G21</f>
        <v>52</v>
      </c>
    </row>
    <row r="21" spans="2:4" ht="15.75" thickBot="1" x14ac:dyDescent="0.3">
      <c r="B21" s="349" t="s">
        <v>196</v>
      </c>
      <c r="C21" s="354">
        <f>+'Factor altura'!F22</f>
        <v>41</v>
      </c>
      <c r="D21" s="355">
        <f>+'Factor altura'!G22</f>
        <v>52</v>
      </c>
    </row>
    <row r="22" spans="2:4" ht="15.75" thickBot="1" x14ac:dyDescent="0.3">
      <c r="B22" s="353" t="s">
        <v>196</v>
      </c>
      <c r="C22" s="354">
        <f>+'Factor altura'!F23</f>
        <v>26</v>
      </c>
      <c r="D22" s="355">
        <f>+'Factor altura'!G23</f>
        <v>33</v>
      </c>
    </row>
    <row r="23" spans="2:4" ht="15.75" thickBot="1" x14ac:dyDescent="0.3">
      <c r="B23" s="349" t="s">
        <v>196</v>
      </c>
      <c r="C23" s="354">
        <f>+'Factor altura'!F24</f>
        <v>26</v>
      </c>
      <c r="D23" s="355">
        <f>+'Factor altura'!G24</f>
        <v>33</v>
      </c>
    </row>
    <row r="24" spans="2:4" ht="15.75" thickBot="1" x14ac:dyDescent="0.3">
      <c r="B24" s="357" t="s">
        <v>203</v>
      </c>
      <c r="C24" s="354">
        <f>+'Factor altura'!F25</f>
        <v>105</v>
      </c>
      <c r="D24" s="355">
        <f>+'Factor altura'!G25</f>
        <v>120</v>
      </c>
    </row>
    <row r="25" spans="2:4" ht="15.75" thickBot="1" x14ac:dyDescent="0.3">
      <c r="B25" s="343" t="s">
        <v>197</v>
      </c>
      <c r="C25" s="354">
        <f>+'Factor altura'!F26</f>
        <v>9</v>
      </c>
      <c r="D25" s="355">
        <f>+'Factor altura'!G26</f>
        <v>12</v>
      </c>
    </row>
    <row r="26" spans="2:4" ht="15.75" thickBot="1" x14ac:dyDescent="0.3">
      <c r="B26" s="346" t="s">
        <v>194</v>
      </c>
      <c r="C26" s="354">
        <f>+'Factor altura'!F27</f>
        <v>3.5</v>
      </c>
      <c r="D26" s="355">
        <f>+'Factor altura'!G27</f>
        <v>4.5</v>
      </c>
    </row>
    <row r="27" spans="2:4" ht="15.75" thickBot="1" x14ac:dyDescent="0.3">
      <c r="B27" s="346" t="s">
        <v>194</v>
      </c>
      <c r="C27" s="354">
        <f>+'Factor altura'!F28</f>
        <v>2</v>
      </c>
      <c r="D27" s="355">
        <f>+'Factor altura'!G28</f>
        <v>2.5</v>
      </c>
    </row>
    <row r="28" spans="2:4" ht="15.75" thickBot="1" x14ac:dyDescent="0.3">
      <c r="B28" s="346" t="s">
        <v>194</v>
      </c>
      <c r="C28" s="354">
        <f>+'Factor altura'!F29</f>
        <v>4.5</v>
      </c>
      <c r="D28" s="355">
        <f>+'Factor altura'!G29</f>
        <v>6</v>
      </c>
    </row>
    <row r="29" spans="2:4" ht="15.75" thickBot="1" x14ac:dyDescent="0.3">
      <c r="B29" s="346" t="s">
        <v>194</v>
      </c>
      <c r="C29" s="354">
        <f>+'Factor altura'!F30</f>
        <v>8</v>
      </c>
      <c r="D29" s="355">
        <f>+'Factor altura'!G30</f>
        <v>10</v>
      </c>
    </row>
    <row r="30" spans="2:4" ht="15.75" thickBot="1" x14ac:dyDescent="0.3">
      <c r="B30" s="346" t="s">
        <v>197</v>
      </c>
      <c r="C30" s="354">
        <f>+'Factor altura'!F31</f>
        <v>40</v>
      </c>
      <c r="D30" s="355">
        <f>+'Factor altura'!G31</f>
        <v>50</v>
      </c>
    </row>
    <row r="31" spans="2:4" ht="15.75" thickBot="1" x14ac:dyDescent="0.3">
      <c r="B31" s="346" t="s">
        <v>197</v>
      </c>
      <c r="C31" s="354">
        <f>+'Factor altura'!F32</f>
        <v>9.5</v>
      </c>
      <c r="D31" s="355">
        <f>+'Factor altura'!G32</f>
        <v>12</v>
      </c>
    </row>
    <row r="32" spans="2:4" ht="15.75" thickBot="1" x14ac:dyDescent="0.3">
      <c r="B32" s="346" t="s">
        <v>197</v>
      </c>
      <c r="C32" s="354">
        <f>+'Factor altura'!F33</f>
        <v>22</v>
      </c>
      <c r="D32" s="355">
        <f>+'Factor altura'!G33</f>
        <v>28</v>
      </c>
    </row>
    <row r="33" spans="1:4" ht="15.75" thickBot="1" x14ac:dyDescent="0.3">
      <c r="B33" s="346" t="s">
        <v>197</v>
      </c>
      <c r="C33" s="354">
        <f>+'Factor altura'!F34</f>
        <v>19</v>
      </c>
      <c r="D33" s="355">
        <f>+'Factor altura'!G34</f>
        <v>24</v>
      </c>
    </row>
    <row r="34" spans="1:4" ht="15.75" thickBot="1" x14ac:dyDescent="0.3">
      <c r="B34" s="346" t="s">
        <v>197</v>
      </c>
      <c r="C34" s="354">
        <f>+'Factor altura'!F35</f>
        <v>22</v>
      </c>
      <c r="D34" s="355">
        <f>+'Factor altura'!G35</f>
        <v>28</v>
      </c>
    </row>
    <row r="35" spans="1:4" ht="15.75" thickBot="1" x14ac:dyDescent="0.3">
      <c r="B35" s="346" t="s">
        <v>197</v>
      </c>
      <c r="C35" s="354">
        <f>+'Factor altura'!F36</f>
        <v>56</v>
      </c>
      <c r="D35" s="355">
        <f>+'Factor altura'!G36</f>
        <v>70</v>
      </c>
    </row>
    <row r="36" spans="1:4" ht="15.75" thickBot="1" x14ac:dyDescent="0.3">
      <c r="B36" s="346" t="s">
        <v>194</v>
      </c>
      <c r="C36" s="354">
        <f>+'Factor altura'!F37</f>
        <v>82</v>
      </c>
      <c r="D36" s="355">
        <f>+'Factor altura'!G37</f>
        <v>102</v>
      </c>
    </row>
    <row r="37" spans="1:4" ht="15.75" thickBot="1" x14ac:dyDescent="0.3">
      <c r="B37" s="349" t="s">
        <v>194</v>
      </c>
      <c r="C37" s="358">
        <f>+'Factor altura'!F38</f>
        <v>163</v>
      </c>
      <c r="D37" s="359">
        <f>+'Factor altura'!G38</f>
        <v>204</v>
      </c>
    </row>
    <row r="38" spans="1:4" ht="15.75" thickBot="1" x14ac:dyDescent="0.3">
      <c r="A38" s="208" t="s">
        <v>227</v>
      </c>
      <c r="B38" s="349" t="s">
        <v>194</v>
      </c>
      <c r="C38" s="358">
        <f>+'Factor altura'!F39</f>
        <v>15</v>
      </c>
      <c r="D38" s="359">
        <f>+'Factor altura'!G39</f>
        <v>20</v>
      </c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C4:I25"/>
  <sheetViews>
    <sheetView workbookViewId="0">
      <selection activeCell="J14" sqref="J14"/>
    </sheetView>
  </sheetViews>
  <sheetFormatPr baseColWidth="10" defaultRowHeight="15" x14ac:dyDescent="0.25"/>
  <cols>
    <col min="1" max="3" width="11.42578125" style="276"/>
    <col min="4" max="4" width="86.42578125" style="276" bestFit="1" customWidth="1"/>
    <col min="5" max="5" width="7.28515625" style="404" bestFit="1" customWidth="1"/>
    <col min="6" max="6" width="11.42578125" style="404"/>
    <col min="7" max="8" width="11.42578125" style="276"/>
    <col min="9" max="9" width="0" style="276" hidden="1" customWidth="1"/>
    <col min="10" max="16384" width="11.42578125" style="276"/>
  </cols>
  <sheetData>
    <row r="4" spans="3:9" ht="15.75" thickBot="1" x14ac:dyDescent="0.3"/>
    <row r="5" spans="3:9" ht="15" customHeight="1" x14ac:dyDescent="0.25">
      <c r="C5" s="592" t="s">
        <v>307</v>
      </c>
      <c r="D5" s="593"/>
      <c r="E5" s="593"/>
      <c r="F5" s="594"/>
    </row>
    <row r="6" spans="3:9" ht="15" customHeight="1" thickBot="1" x14ac:dyDescent="0.3">
      <c r="C6" s="595"/>
      <c r="D6" s="596"/>
      <c r="E6" s="596"/>
      <c r="F6" s="597"/>
    </row>
    <row r="7" spans="3:9" ht="15.75" customHeight="1" x14ac:dyDescent="0.25">
      <c r="C7" s="484" t="s">
        <v>306</v>
      </c>
      <c r="D7" s="488"/>
      <c r="E7" s="482"/>
      <c r="F7" s="483"/>
    </row>
    <row r="8" spans="3:9" ht="15.75" thickBot="1" x14ac:dyDescent="0.3">
      <c r="C8" s="486" t="str">
        <f>+Diseño!D10</f>
        <v>Excavación y Muro</v>
      </c>
      <c r="D8" s="489"/>
      <c r="E8" s="481"/>
      <c r="F8" s="485"/>
      <c r="I8" s="276" t="str">
        <f>+Diseño!D11</f>
        <v>Si</v>
      </c>
    </row>
    <row r="9" spans="3:9" ht="15.75" thickBot="1" x14ac:dyDescent="0.3">
      <c r="C9" s="438" t="s">
        <v>185</v>
      </c>
      <c r="D9" s="456" t="s">
        <v>1</v>
      </c>
      <c r="E9" s="457" t="s">
        <v>4</v>
      </c>
      <c r="F9" s="457" t="s">
        <v>274</v>
      </c>
    </row>
    <row r="10" spans="3:9" ht="15.75" thickBot="1" x14ac:dyDescent="0.3">
      <c r="C10" s="462">
        <v>1</v>
      </c>
      <c r="D10" s="480" t="s">
        <v>292</v>
      </c>
      <c r="E10" s="276"/>
      <c r="F10" s="487"/>
    </row>
    <row r="11" spans="3:9" x14ac:dyDescent="0.25">
      <c r="C11" s="462">
        <v>1.1000000000000001</v>
      </c>
      <c r="D11" s="479" t="s">
        <v>296</v>
      </c>
      <c r="E11" s="468" t="s">
        <v>275</v>
      </c>
      <c r="F11" s="490">
        <f>+Diseño!D42</f>
        <v>621.20000000000005</v>
      </c>
    </row>
    <row r="12" spans="3:9" x14ac:dyDescent="0.25">
      <c r="C12" s="463">
        <v>1.2</v>
      </c>
      <c r="D12" s="400" t="s">
        <v>297</v>
      </c>
      <c r="E12" s="440" t="s">
        <v>275</v>
      </c>
      <c r="F12" s="491">
        <f>IF(F17&gt;0,Diseño!D43-Cubicación!F17,Diseño!D43)</f>
        <v>140.80000000000001</v>
      </c>
    </row>
    <row r="13" spans="3:9" x14ac:dyDescent="0.25">
      <c r="C13" s="463">
        <v>1.3</v>
      </c>
      <c r="D13" s="436" t="s">
        <v>298</v>
      </c>
      <c r="E13" s="440" t="s">
        <v>275</v>
      </c>
      <c r="F13" s="491">
        <f>+Diseño!D43</f>
        <v>140.80000000000001</v>
      </c>
    </row>
    <row r="14" spans="3:9" x14ac:dyDescent="0.25">
      <c r="C14" s="463">
        <v>1.4</v>
      </c>
      <c r="D14" s="400" t="s">
        <v>299</v>
      </c>
      <c r="E14" s="440" t="s">
        <v>275</v>
      </c>
      <c r="F14" s="491">
        <f>+Diseño!D43</f>
        <v>140.80000000000001</v>
      </c>
    </row>
    <row r="15" spans="3:9" hidden="1" x14ac:dyDescent="0.25">
      <c r="C15" s="463">
        <v>1.5</v>
      </c>
      <c r="D15" s="400" t="s">
        <v>300</v>
      </c>
      <c r="E15" s="440" t="s">
        <v>275</v>
      </c>
      <c r="F15" s="491">
        <f>IF(Diseño!AC65&lt;0,0,Diseño!AC65)</f>
        <v>480.40000000000003</v>
      </c>
    </row>
    <row r="16" spans="3:9" x14ac:dyDescent="0.25">
      <c r="C16" s="463">
        <v>1.5</v>
      </c>
      <c r="D16" s="400" t="s">
        <v>301</v>
      </c>
      <c r="E16" s="440" t="s">
        <v>275</v>
      </c>
      <c r="F16" s="491">
        <f>IF(Diseño!AC65&lt;0,0,Diseño!AC65)</f>
        <v>480.40000000000003</v>
      </c>
    </row>
    <row r="17" spans="3:6" ht="15.75" thickBot="1" x14ac:dyDescent="0.3">
      <c r="C17" s="464">
        <v>1.6</v>
      </c>
      <c r="D17" s="437" t="s">
        <v>302</v>
      </c>
      <c r="E17" s="442" t="s">
        <v>275</v>
      </c>
      <c r="F17" s="492">
        <f>IF(C8="100% Muro",F13,Diseño!AC67)</f>
        <v>0</v>
      </c>
    </row>
    <row r="18" spans="3:6" ht="15.75" thickBot="1" x14ac:dyDescent="0.3">
      <c r="C18" s="466">
        <v>2</v>
      </c>
      <c r="D18" s="589" t="s">
        <v>305</v>
      </c>
      <c r="E18" s="590"/>
      <c r="F18" s="591"/>
    </row>
    <row r="19" spans="3:6" x14ac:dyDescent="0.25">
      <c r="C19" s="462">
        <v>2.1</v>
      </c>
      <c r="D19" s="400" t="s">
        <v>303</v>
      </c>
      <c r="E19" s="440" t="s">
        <v>275</v>
      </c>
      <c r="F19" s="491">
        <f>IF(I8="Si",Diseño!AC62,0)</f>
        <v>25.6</v>
      </c>
    </row>
    <row r="20" spans="3:6" x14ac:dyDescent="0.25">
      <c r="C20" s="463">
        <v>2.2000000000000002</v>
      </c>
      <c r="D20" s="400" t="s">
        <v>273</v>
      </c>
      <c r="E20" s="440" t="s">
        <v>278</v>
      </c>
      <c r="F20" s="491">
        <f>IF(I8="Si",Diseño!AF60,0)</f>
        <v>731.66484227846092</v>
      </c>
    </row>
    <row r="21" spans="3:6" ht="15.75" thickBot="1" x14ac:dyDescent="0.3">
      <c r="C21" s="464">
        <v>2.2999999999999998</v>
      </c>
      <c r="D21" s="437" t="s">
        <v>304</v>
      </c>
      <c r="E21" s="442" t="s">
        <v>275</v>
      </c>
      <c r="F21" s="492">
        <f>IF(I8="Si",Diseño!AC62,0)</f>
        <v>25.6</v>
      </c>
    </row>
    <row r="22" spans="3:6" ht="15.75" thickBot="1" x14ac:dyDescent="0.3">
      <c r="C22" s="466">
        <v>3</v>
      </c>
      <c r="D22" s="589" t="s">
        <v>318</v>
      </c>
      <c r="E22" s="590"/>
      <c r="F22" s="591"/>
    </row>
    <row r="23" spans="3:6" ht="15.75" thickBot="1" x14ac:dyDescent="0.3">
      <c r="C23" s="457">
        <v>3.1</v>
      </c>
      <c r="D23" s="437" t="s">
        <v>319</v>
      </c>
      <c r="E23" s="442" t="s">
        <v>203</v>
      </c>
      <c r="F23" s="492">
        <f>+Diseño!AE72</f>
        <v>110.4</v>
      </c>
    </row>
    <row r="25" spans="3:6" x14ac:dyDescent="0.25">
      <c r="C25" s="405"/>
    </row>
  </sheetData>
  <sheetProtection algorithmName="SHA-512" hashValue="s1prfdMr2tfrZZbri1gIn0RPxP8906uq83zFfBiLWaXSFK6AENfrtuVrQmIQaoCjWbTfKc0CQIzz2fcyJRVHOA==" saltValue="sMwpmeaUmhJQ/Y653M21NA==" spinCount="100000" sheet="1" objects="1" scenarios="1"/>
  <mergeCells count="3">
    <mergeCell ref="D18:F18"/>
    <mergeCell ref="C5:F6"/>
    <mergeCell ref="D22:F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2:L32"/>
  <sheetViews>
    <sheetView topLeftCell="A10" zoomScale="115" zoomScaleNormal="115" workbookViewId="0">
      <selection activeCell="F23" sqref="F23"/>
    </sheetView>
  </sheetViews>
  <sheetFormatPr baseColWidth="10" defaultRowHeight="15" x14ac:dyDescent="0.25"/>
  <cols>
    <col min="1" max="1" width="8.28515625" style="276" bestFit="1" customWidth="1"/>
    <col min="2" max="2" width="45.5703125" style="276" bestFit="1" customWidth="1"/>
    <col min="3" max="3" width="15" style="276" bestFit="1" customWidth="1"/>
    <col min="4" max="4" width="15.5703125" style="276" bestFit="1" customWidth="1"/>
    <col min="5" max="5" width="13.140625" style="276" customWidth="1"/>
    <col min="6" max="6" width="12.28515625" style="276" bestFit="1" customWidth="1"/>
    <col min="7" max="7" width="9.42578125" style="276" bestFit="1" customWidth="1"/>
    <col min="8" max="8" width="9" style="276" hidden="1" customWidth="1"/>
    <col min="9" max="9" width="0" style="276" hidden="1" customWidth="1"/>
    <col min="10" max="11" width="11.42578125" style="276"/>
    <col min="12" max="12" width="12.85546875" style="276" customWidth="1"/>
    <col min="13" max="16384" width="11.42578125" style="276"/>
  </cols>
  <sheetData>
    <row r="2" spans="1:12" x14ac:dyDescent="0.25">
      <c r="A2"/>
      <c r="H2" s="276" t="s">
        <v>220</v>
      </c>
    </row>
    <row r="3" spans="1:12" x14ac:dyDescent="0.25">
      <c r="H3" s="276" t="s">
        <v>221</v>
      </c>
    </row>
    <row r="4" spans="1:12" x14ac:dyDescent="0.25">
      <c r="H4" s="276" t="s">
        <v>222</v>
      </c>
    </row>
    <row r="8" spans="1:12" x14ac:dyDescent="0.25">
      <c r="A8"/>
    </row>
    <row r="9" spans="1:12" x14ac:dyDescent="0.25">
      <c r="B9" s="603" t="s">
        <v>228</v>
      </c>
      <c r="C9" s="603"/>
      <c r="D9" s="603"/>
      <c r="E9" s="603"/>
    </row>
    <row r="10" spans="1:12" ht="32.25" customHeight="1" x14ac:dyDescent="0.25">
      <c r="B10" s="603"/>
      <c r="C10" s="603"/>
      <c r="D10" s="603"/>
      <c r="E10" s="603"/>
    </row>
    <row r="11" spans="1:12" ht="15.75" thickBot="1" x14ac:dyDescent="0.3"/>
    <row r="12" spans="1:12" ht="15.75" hidden="1" thickBot="1" x14ac:dyDescent="0.3">
      <c r="B12" s="390" t="s">
        <v>214</v>
      </c>
      <c r="C12" s="391">
        <v>500</v>
      </c>
    </row>
    <row r="13" spans="1:12" ht="15.75" thickBot="1" x14ac:dyDescent="0.3">
      <c r="B13" s="604" t="s">
        <v>282</v>
      </c>
      <c r="C13" s="605"/>
    </row>
    <row r="14" spans="1:12" hidden="1" x14ac:dyDescent="0.25">
      <c r="B14" s="567" t="s">
        <v>218</v>
      </c>
      <c r="C14" s="568">
        <v>150</v>
      </c>
    </row>
    <row r="15" spans="1:12" ht="15.75" thickBot="1" x14ac:dyDescent="0.3">
      <c r="B15" s="569" t="s">
        <v>219</v>
      </c>
      <c r="C15" s="570" t="s">
        <v>220</v>
      </c>
      <c r="L15" s="264"/>
    </row>
    <row r="16" spans="1:12" ht="15.75" hidden="1" thickBot="1" x14ac:dyDescent="0.3">
      <c r="B16" s="394" t="s">
        <v>217</v>
      </c>
      <c r="C16" s="395">
        <v>24131.85</v>
      </c>
      <c r="L16" s="276" t="s">
        <v>220</v>
      </c>
    </row>
    <row r="17" spans="2:6" ht="15.75" thickBot="1" x14ac:dyDescent="0.3"/>
    <row r="18" spans="2:6" ht="16.5" customHeight="1" thickBot="1" x14ac:dyDescent="0.3">
      <c r="B18" s="601" t="s">
        <v>0</v>
      </c>
      <c r="C18" s="598" t="s">
        <v>208</v>
      </c>
      <c r="D18" s="599"/>
      <c r="E18" s="600"/>
    </row>
    <row r="19" spans="2:6" ht="19.5" thickBot="1" x14ac:dyDescent="0.3">
      <c r="B19" s="602"/>
      <c r="C19" s="392" t="s">
        <v>5</v>
      </c>
      <c r="D19" s="401" t="s">
        <v>187</v>
      </c>
      <c r="E19" s="392" t="s">
        <v>186</v>
      </c>
      <c r="F19" s="392" t="s">
        <v>270</v>
      </c>
    </row>
    <row r="20" spans="2:6" x14ac:dyDescent="0.25">
      <c r="B20" s="479" t="s">
        <v>102</v>
      </c>
      <c r="C20" s="553" t="s">
        <v>275</v>
      </c>
      <c r="D20" s="556">
        <f>IF($C$15="Difícil Acceso",Hoja2!G26,IF($C$15="Ladera Media",Hoja2!E26,IF($C$15="Plano",Hoja2!C26)))</f>
        <v>3407.6516840858558</v>
      </c>
      <c r="E20" s="563">
        <f>IF($C$15="Difícil Acceso",Hoja2!H26,IF($C$15="Ladera Media",Hoja2!F26,IF($C$15="Plano",Hoja2!D26)))</f>
        <v>4249.0347808922224</v>
      </c>
      <c r="F20" s="559">
        <f>+AVERAGE(D20:E20)</f>
        <v>3828.3432324890391</v>
      </c>
    </row>
    <row r="21" spans="2:6" x14ac:dyDescent="0.25">
      <c r="B21" s="400" t="s">
        <v>135</v>
      </c>
      <c r="C21" s="554" t="s">
        <v>275</v>
      </c>
      <c r="D21" s="557">
        <f>IF($C$15="Difícil Acceso",Hoja2!G28,IF($C$15="Ladera Media",Hoja2!E28,IF($C$15="Plano",Hoja2!C28)))</f>
        <v>13643.643661562115</v>
      </c>
      <c r="E21" s="564">
        <f>IF($C$15="Difícil Acceso",Hoja2!H28,IF($C$15="Ladera Media",Hoja2!F28,IF($C$15="Plano",Hoja2!D28)))</f>
        <v>16824.653414923014</v>
      </c>
      <c r="F21" s="560">
        <f t="shared" ref="F21:F28" si="0">+AVERAGE(D21:E21)</f>
        <v>15234.148538242564</v>
      </c>
    </row>
    <row r="22" spans="2:6" x14ac:dyDescent="0.25">
      <c r="B22" s="400" t="s">
        <v>227</v>
      </c>
      <c r="C22" s="554" t="s">
        <v>275</v>
      </c>
      <c r="D22" s="557">
        <f>+IF($C$15="Difícil Acceso",Hoja2!G39,IF($C$15="Ladera Media",Hoja2!E39,IF($C$15="Plano",Hoja2!C39)))</f>
        <v>3128.6695071290542</v>
      </c>
      <c r="E22" s="564">
        <f>IF($C$15="Difícil Acceso",Hoja2!H39,IF($C$15="Ladera Media",Hoja2!F39,IF($C$15="Plano",Hoja2!D39)))</f>
        <v>4477.1472842102939</v>
      </c>
      <c r="F22" s="560">
        <f t="shared" si="0"/>
        <v>3802.9083956696741</v>
      </c>
    </row>
    <row r="23" spans="2:6" ht="30" x14ac:dyDescent="0.25">
      <c r="B23" s="400" t="s">
        <v>167</v>
      </c>
      <c r="C23" s="554" t="s">
        <v>275</v>
      </c>
      <c r="D23" s="557">
        <f>IF($C$15="Difícil Acceso",Hoja2!G32,IF($C$15="Ladera Media",Hoja2!E32,IF($C$15="Plano",Hoja2!C32)))</f>
        <v>3589.1657967461088</v>
      </c>
      <c r="E23" s="564">
        <f>IF($C$15="Difícil Acceso",Hoja2!H32,IF($C$15="Ladera Media",Hoja2!F32,IF($C$15="Plano",Hoja2!D32)))</f>
        <v>4445.5914995740432</v>
      </c>
      <c r="F23" s="561">
        <f t="shared" si="0"/>
        <v>4017.378648160076</v>
      </c>
    </row>
    <row r="24" spans="2:6" x14ac:dyDescent="0.25">
      <c r="B24" s="400" t="s">
        <v>277</v>
      </c>
      <c r="C24" s="554" t="s">
        <v>275</v>
      </c>
      <c r="D24" s="557">
        <f>1.3*4850</f>
        <v>6305</v>
      </c>
      <c r="E24" s="564">
        <f>1.3*5130</f>
        <v>6669</v>
      </c>
      <c r="F24" s="560">
        <f t="shared" si="0"/>
        <v>6487</v>
      </c>
    </row>
    <row r="25" spans="2:6" ht="30" x14ac:dyDescent="0.25">
      <c r="B25" s="400" t="s">
        <v>229</v>
      </c>
      <c r="C25" s="566" t="s">
        <v>275</v>
      </c>
      <c r="D25" s="557">
        <f>IF($C$15="Difícil Acceso",Hoja2!G34,IF($C$15="Ladera Media",Hoja2!E34,IF($C$15="Plano",Hoja2!C34)))</f>
        <v>1648.3674405546476</v>
      </c>
      <c r="E25" s="564">
        <f>IF($C$15="Difícil Acceso",Hoja2!H34,IF($C$15="Ladera Media",Hoja2!F34,IF($C$15="Plano",Hoja2!D34)))</f>
        <v>2623.8630415042239</v>
      </c>
      <c r="F25" s="561">
        <f t="shared" si="0"/>
        <v>2136.1152410294358</v>
      </c>
    </row>
    <row r="26" spans="2:6" ht="30" x14ac:dyDescent="0.25">
      <c r="B26" s="400" t="s">
        <v>166</v>
      </c>
      <c r="C26" s="554" t="s">
        <v>275</v>
      </c>
      <c r="D26" s="557">
        <f>IF($C$15="Difícil Acceso",Hoja2!G36,IF($C$15="Ladera Media",Hoja2!E36,IF($C$15="Plano",Hoja2!C36)))</f>
        <v>1131.2039728219086</v>
      </c>
      <c r="E26" s="564">
        <f>IF($C$15="Difícil Acceso",Hoja2!H36,IF($C$15="Ladera Media",Hoja2!F36,IF($C$15="Plano",Hoja2!D36)))</f>
        <v>1202.4056413239969</v>
      </c>
      <c r="F26" s="561">
        <f t="shared" si="0"/>
        <v>1166.8048070729528</v>
      </c>
    </row>
    <row r="27" spans="2:6" hidden="1" x14ac:dyDescent="0.25">
      <c r="B27" s="400" t="s">
        <v>170</v>
      </c>
      <c r="C27" s="554" t="str">
        <f>+'NO BORRAR'!D35</f>
        <v>m3</v>
      </c>
      <c r="D27" s="557">
        <f>IF($C$15="Difícil Acceso",Hoja2!G37,IF($C$15="Ladera Media",Hoja2!E37,IF($C$15="Plano",Hoja2!C37)))</f>
        <v>2682.5980738462813</v>
      </c>
      <c r="E27" s="564">
        <f>IF($C$15="Difícil Acceso",Hoja2!H37,IF($C$15="Ladera Media",Hoja2!F37,IF($C$15="Plano",Hoja2!D37)))</f>
        <v>2993.4785982920189</v>
      </c>
      <c r="F27" s="560">
        <f t="shared" si="0"/>
        <v>2838.0383360691503</v>
      </c>
    </row>
    <row r="28" spans="2:6" x14ac:dyDescent="0.25">
      <c r="B28" s="400" t="s">
        <v>315</v>
      </c>
      <c r="C28" s="554" t="s">
        <v>275</v>
      </c>
      <c r="D28" s="557">
        <f>IF($C$15="Difícil Acceso",Hoja2!G38,IF($C$15="Ladera Media",Hoja2!E38,IF($C$15="Plano",Hoja2!C38)))</f>
        <v>2093.9307582022561</v>
      </c>
      <c r="E28" s="564">
        <f>IF($C$15="Difícil Acceso",Hoja2!H38,IF($C$15="Ladera Media",Hoja2!F38,IF($C$15="Plano",Hoja2!D38)))</f>
        <v>2997.4899598977704</v>
      </c>
      <c r="F28" s="560">
        <f t="shared" si="0"/>
        <v>2545.7103590500133</v>
      </c>
    </row>
    <row r="29" spans="2:6" x14ac:dyDescent="0.25">
      <c r="B29" s="400" t="s">
        <v>280</v>
      </c>
      <c r="C29" s="554" t="s">
        <v>278</v>
      </c>
      <c r="D29" s="557">
        <f>IF($C$15="Difícil Acceso",Hoja2!G45,IF($C$15="Ladera Media",Hoja2!E45,IF($C$15="Plano",Hoja2!C45)))</f>
        <v>2728</v>
      </c>
      <c r="E29" s="564">
        <f>IF($C$15="Difícil Acceso",Hoja2!H45,IF($C$15="Ladera Media",Hoja2!F45,IF($C$15="Plano",Hoja2!D45)))</f>
        <v>3000.8</v>
      </c>
      <c r="F29" s="560">
        <f>+AVERAGE(D29:E29)</f>
        <v>2864.4</v>
      </c>
    </row>
    <row r="30" spans="2:6" ht="15.75" thickBot="1" x14ac:dyDescent="0.3">
      <c r="B30" s="437" t="s">
        <v>318</v>
      </c>
      <c r="C30" s="555" t="s">
        <v>203</v>
      </c>
      <c r="D30" s="558">
        <f>IF($C$15="Difícil Acceso",Hoja2!G46,IF($C$15="Ladera Media",Hoja2!E46,IF($C$15="Plano",Hoja2!C46)))</f>
        <v>10725</v>
      </c>
      <c r="E30" s="565">
        <f>IF($C$15="Difícil Acceso",Hoja2!H46,IF($C$15="Ladera Media",Hoja2!F46,IF($C$15="Plano",Hoja2!D46)))</f>
        <v>11797.500000000002</v>
      </c>
      <c r="F30" s="562">
        <f>+(E30+D30)/2</f>
        <v>11261.25</v>
      </c>
    </row>
    <row r="31" spans="2:6" x14ac:dyDescent="0.25">
      <c r="B31" s="402" t="s">
        <v>230</v>
      </c>
    </row>
    <row r="32" spans="2:6" x14ac:dyDescent="0.25">
      <c r="B32" s="393" t="s">
        <v>226</v>
      </c>
    </row>
  </sheetData>
  <sheetProtection algorithmName="SHA-512" hashValue="VE0vGslW+9HepfsZ4ZrR5tVd1Is6gTgZ9pYmVsM8RuOlWUYTYMBeVDymMbuxrOV4Hs7e9GPEaROF0L0Xb8jZTA==" saltValue="lvEd3s5ghe7OqV0fxasReQ==" spinCount="100000" sheet="1" objects="1" scenarios="1"/>
  <mergeCells count="4">
    <mergeCell ref="C18:E18"/>
    <mergeCell ref="B18:B19"/>
    <mergeCell ref="B9:E10"/>
    <mergeCell ref="B13:C13"/>
  </mergeCells>
  <dataValidations count="1">
    <dataValidation type="list" allowBlank="1" showInputMessage="1" showErrorMessage="1" sqref="C15" xr:uid="{00000000-0002-0000-03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1"/>
  <dimension ref="B4:H46"/>
  <sheetViews>
    <sheetView topLeftCell="A12" workbookViewId="0">
      <selection activeCell="A45" sqref="A45:XFD45"/>
    </sheetView>
  </sheetViews>
  <sheetFormatPr baseColWidth="10" defaultRowHeight="15" x14ac:dyDescent="0.25"/>
  <cols>
    <col min="2" max="2" width="39.42578125" bestFit="1" customWidth="1"/>
  </cols>
  <sheetData>
    <row r="4" spans="3:8" ht="15.75" thickBot="1" x14ac:dyDescent="0.3">
      <c r="C4" t="s">
        <v>223</v>
      </c>
      <c r="E4" t="s">
        <v>224</v>
      </c>
      <c r="G4" t="s">
        <v>225</v>
      </c>
    </row>
    <row r="5" spans="3:8" ht="19.5" thickBot="1" x14ac:dyDescent="0.3">
      <c r="C5" s="342" t="s">
        <v>187</v>
      </c>
      <c r="D5" s="301" t="s">
        <v>186</v>
      </c>
      <c r="E5" s="342" t="s">
        <v>187</v>
      </c>
      <c r="F5" s="301" t="s">
        <v>186</v>
      </c>
      <c r="G5" s="342" t="s">
        <v>187</v>
      </c>
      <c r="H5" s="301" t="s">
        <v>186</v>
      </c>
    </row>
    <row r="6" spans="3:8" x14ac:dyDescent="0.25">
      <c r="C6" s="386">
        <f>+'NO BORRAR'!G4</f>
        <v>73617.511029152025</v>
      </c>
      <c r="D6" s="387">
        <f>+'NO BORRAR'!H4</f>
        <v>86070.783134207406</v>
      </c>
      <c r="E6">
        <f>1.02*C6</f>
        <v>75089.86124973507</v>
      </c>
      <c r="F6">
        <f>1.02*D6</f>
        <v>87792.198796891549</v>
      </c>
      <c r="G6">
        <f>1.05*E6</f>
        <v>78844.354312221825</v>
      </c>
      <c r="H6">
        <f>1.05*F6</f>
        <v>92181.80873673613</v>
      </c>
    </row>
    <row r="7" spans="3:8" x14ac:dyDescent="0.25">
      <c r="C7" s="382">
        <f>+'NO BORRAR'!G5</f>
        <v>113601.76067488104</v>
      </c>
      <c r="D7" s="384">
        <f>+'NO BORRAR'!H5</f>
        <v>131576.67203025328</v>
      </c>
      <c r="E7">
        <f t="shared" ref="E7:E38" si="0">1.02*C7</f>
        <v>115873.79588837866</v>
      </c>
      <c r="F7">
        <f t="shared" ref="F7:F38" si="1">1.02*D7</f>
        <v>134208.20547085835</v>
      </c>
      <c r="G7">
        <f t="shared" ref="G7:G38" si="2">1.05*E7</f>
        <v>121667.4856827976</v>
      </c>
      <c r="H7">
        <f t="shared" ref="H7:H38" si="3">1.05*F7</f>
        <v>140918.61574440126</v>
      </c>
    </row>
    <row r="8" spans="3:8" x14ac:dyDescent="0.25">
      <c r="C8" s="382">
        <f>+'NO BORRAR'!G6</f>
        <v>118379.29234733101</v>
      </c>
      <c r="D8" s="384">
        <f>+'NO BORRAR'!H6</f>
        <v>134907.10500342841</v>
      </c>
      <c r="E8">
        <f t="shared" si="0"/>
        <v>120746.87819427763</v>
      </c>
      <c r="F8">
        <f t="shared" si="1"/>
        <v>137605.24710349698</v>
      </c>
      <c r="G8">
        <f t="shared" si="2"/>
        <v>126784.22210399152</v>
      </c>
      <c r="H8">
        <f t="shared" si="3"/>
        <v>144485.50945867185</v>
      </c>
    </row>
    <row r="9" spans="3:8" ht="15.75" thickBot="1" x14ac:dyDescent="0.3">
      <c r="C9" s="383">
        <f>+'NO BORRAR'!G7</f>
        <v>124083.44855070957</v>
      </c>
      <c r="D9" s="385">
        <f>+'NO BORRAR'!H7</f>
        <v>143273.80247262449</v>
      </c>
      <c r="E9">
        <f t="shared" si="0"/>
        <v>126565.11752172376</v>
      </c>
      <c r="F9">
        <f t="shared" si="1"/>
        <v>146139.27852207699</v>
      </c>
      <c r="G9">
        <f t="shared" si="2"/>
        <v>132893.37339780995</v>
      </c>
      <c r="H9">
        <f t="shared" si="3"/>
        <v>153446.24244818086</v>
      </c>
    </row>
    <row r="10" spans="3:8" x14ac:dyDescent="0.25">
      <c r="C10" s="386">
        <f>+'NO BORRAR'!G8</f>
        <v>2324.5840505329647</v>
      </c>
      <c r="D10" s="387">
        <f>+'NO BORRAR'!H8</f>
        <v>2515.1237268061586</v>
      </c>
      <c r="E10">
        <f t="shared" si="0"/>
        <v>2371.075731543624</v>
      </c>
      <c r="F10">
        <f t="shared" si="1"/>
        <v>2565.4262013422817</v>
      </c>
      <c r="G10">
        <f t="shared" si="2"/>
        <v>2489.6295181208052</v>
      </c>
      <c r="H10">
        <f t="shared" si="3"/>
        <v>2693.6975114093962</v>
      </c>
    </row>
    <row r="11" spans="3:8" x14ac:dyDescent="0.25">
      <c r="C11" s="382">
        <f>+'NO BORRAR'!G9</f>
        <v>2438.9078562968812</v>
      </c>
      <c r="D11" s="384">
        <f>+'NO BORRAR'!H9</f>
        <v>2647.4986597959564</v>
      </c>
      <c r="E11">
        <f t="shared" si="0"/>
        <v>2487.6860134228186</v>
      </c>
      <c r="F11">
        <f t="shared" si="1"/>
        <v>2700.4486329918755</v>
      </c>
      <c r="G11">
        <f t="shared" si="2"/>
        <v>2612.0703140939595</v>
      </c>
      <c r="H11">
        <f t="shared" si="3"/>
        <v>2835.4710646414692</v>
      </c>
    </row>
    <row r="12" spans="3:8" x14ac:dyDescent="0.25">
      <c r="C12" s="382">
        <f>+'NO BORRAR'!G10</f>
        <v>2863.1093461050968</v>
      </c>
      <c r="D12" s="384">
        <f>+'NO BORRAR'!H10</f>
        <v>3133.8762544933197</v>
      </c>
      <c r="E12">
        <f t="shared" si="0"/>
        <v>2920.3715330271989</v>
      </c>
      <c r="F12">
        <f t="shared" si="1"/>
        <v>3196.553779583186</v>
      </c>
      <c r="G12">
        <f t="shared" si="2"/>
        <v>3066.3901096785589</v>
      </c>
      <c r="H12">
        <f t="shared" si="3"/>
        <v>3356.3814685623456</v>
      </c>
    </row>
    <row r="13" spans="3:8" x14ac:dyDescent="0.25">
      <c r="C13" s="382">
        <f>+'NO BORRAR'!G11</f>
        <v>3163.9614665364552</v>
      </c>
      <c r="D13" s="384">
        <f>+'NO BORRAR'!H11</f>
        <v>3433.7255345232402</v>
      </c>
      <c r="E13">
        <f t="shared" si="0"/>
        <v>3227.2406958671845</v>
      </c>
      <c r="F13">
        <f t="shared" si="1"/>
        <v>3502.4000452137052</v>
      </c>
      <c r="G13">
        <f t="shared" si="2"/>
        <v>3388.6027306605438</v>
      </c>
      <c r="H13">
        <f t="shared" si="3"/>
        <v>3677.5200474743906</v>
      </c>
    </row>
    <row r="14" spans="3:8" x14ac:dyDescent="0.25">
      <c r="C14" s="382">
        <f>+'NO BORRAR'!G12</f>
        <v>2438.9078562968812</v>
      </c>
      <c r="D14" s="384">
        <f>+'NO BORRAR'!H12</f>
        <v>2642.484457788767</v>
      </c>
      <c r="E14">
        <f t="shared" si="0"/>
        <v>2487.6860134228186</v>
      </c>
      <c r="F14">
        <f t="shared" si="1"/>
        <v>2695.3341469445422</v>
      </c>
      <c r="G14">
        <f t="shared" si="2"/>
        <v>2612.0703140939595</v>
      </c>
      <c r="H14">
        <f t="shared" si="3"/>
        <v>2830.1008542917693</v>
      </c>
    </row>
    <row r="15" spans="3:8" x14ac:dyDescent="0.25">
      <c r="C15" s="382">
        <f>+'NO BORRAR'!G13</f>
        <v>2506.0981631932177</v>
      </c>
      <c r="D15" s="384">
        <f>+'NO BORRAR'!H13</f>
        <v>2737.7542959253637</v>
      </c>
      <c r="E15">
        <f t="shared" si="0"/>
        <v>2556.2201264570822</v>
      </c>
      <c r="F15">
        <f t="shared" si="1"/>
        <v>2792.5093818438709</v>
      </c>
      <c r="G15">
        <f t="shared" si="2"/>
        <v>2684.0311327799363</v>
      </c>
      <c r="H15">
        <f t="shared" si="3"/>
        <v>2932.1348509360646</v>
      </c>
    </row>
    <row r="16" spans="3:8" x14ac:dyDescent="0.25">
      <c r="C16" s="382">
        <f>+'NO BORRAR'!G14</f>
        <v>2869.1263885137237</v>
      </c>
      <c r="D16" s="384">
        <f>+'NO BORRAR'!H14</f>
        <v>3146.9131797120117</v>
      </c>
      <c r="E16">
        <f t="shared" si="0"/>
        <v>2926.5089162839981</v>
      </c>
      <c r="F16">
        <f t="shared" si="1"/>
        <v>3209.8514433062519</v>
      </c>
      <c r="G16">
        <f t="shared" si="2"/>
        <v>3072.8343620981982</v>
      </c>
      <c r="H16">
        <f t="shared" si="3"/>
        <v>3370.3440154715645</v>
      </c>
    </row>
    <row r="17" spans="2:8" x14ac:dyDescent="0.25">
      <c r="C17" s="382">
        <f>+'NO BORRAR'!G15</f>
        <v>3129.8648928875682</v>
      </c>
      <c r="D17" s="384">
        <f>+'NO BORRAR'!H15</f>
        <v>3446.7624597419326</v>
      </c>
      <c r="E17">
        <f t="shared" si="0"/>
        <v>3192.4621907453197</v>
      </c>
      <c r="F17">
        <f t="shared" si="1"/>
        <v>3515.6977089367715</v>
      </c>
      <c r="G17">
        <f t="shared" si="2"/>
        <v>3352.0853002825856</v>
      </c>
      <c r="H17">
        <f t="shared" si="3"/>
        <v>3691.4825943836104</v>
      </c>
    </row>
    <row r="18" spans="2:8" x14ac:dyDescent="0.25">
      <c r="C18" s="382">
        <f>+'NO BORRAR'!G16</f>
        <v>3703.4896025100252</v>
      </c>
      <c r="D18" s="384">
        <f>+'NO BORRAR'!H16</f>
        <v>4162.7905063685657</v>
      </c>
      <c r="E18">
        <f t="shared" si="0"/>
        <v>3777.5593945602259</v>
      </c>
      <c r="F18">
        <f t="shared" si="1"/>
        <v>4246.0463164959374</v>
      </c>
      <c r="G18">
        <f t="shared" si="2"/>
        <v>3966.4373642882374</v>
      </c>
      <c r="H18">
        <f t="shared" si="3"/>
        <v>4458.3486323207344</v>
      </c>
    </row>
    <row r="19" spans="2:8" x14ac:dyDescent="0.25">
      <c r="C19" s="382">
        <f>+'NO BORRAR'!G17</f>
        <v>4167.8047083757556</v>
      </c>
      <c r="D19" s="384">
        <f>+'NO BORRAR'!H17</f>
        <v>4602.0346021983496</v>
      </c>
      <c r="E19">
        <f t="shared" si="0"/>
        <v>4251.1608025432706</v>
      </c>
      <c r="F19">
        <f t="shared" si="1"/>
        <v>4694.0752942423169</v>
      </c>
      <c r="G19">
        <f t="shared" si="2"/>
        <v>4463.7188426704342</v>
      </c>
      <c r="H19">
        <f t="shared" si="3"/>
        <v>4928.7790589544329</v>
      </c>
    </row>
    <row r="20" spans="2:8" x14ac:dyDescent="0.25">
      <c r="C20" s="382">
        <f>+'NO BORRAR'!G18</f>
        <v>5221.789970286949</v>
      </c>
      <c r="D20" s="384">
        <f>+'NO BORRAR'!H18</f>
        <v>5934.809495709269</v>
      </c>
      <c r="E20">
        <f t="shared" si="0"/>
        <v>5326.2257696926881</v>
      </c>
      <c r="F20">
        <f t="shared" si="1"/>
        <v>6053.5056856234542</v>
      </c>
      <c r="G20">
        <f t="shared" si="2"/>
        <v>5592.5370581773232</v>
      </c>
      <c r="H20">
        <f t="shared" si="3"/>
        <v>6356.1809699046271</v>
      </c>
    </row>
    <row r="21" spans="2:8" x14ac:dyDescent="0.25">
      <c r="C21" s="382">
        <f>+'NO BORRAR'!G19</f>
        <v>6445.2552600411409</v>
      </c>
      <c r="D21" s="384">
        <f>+'NO BORRAR'!H19</f>
        <v>7162.2861470692123</v>
      </c>
      <c r="E21">
        <f t="shared" si="0"/>
        <v>6574.1603652419635</v>
      </c>
      <c r="F21">
        <f t="shared" si="1"/>
        <v>7305.5318700105963</v>
      </c>
      <c r="G21">
        <f t="shared" si="2"/>
        <v>6902.868383504062</v>
      </c>
      <c r="H21">
        <f t="shared" si="3"/>
        <v>7670.8084635111263</v>
      </c>
    </row>
    <row r="22" spans="2:8" ht="15.75" thickBot="1" x14ac:dyDescent="0.3">
      <c r="C22" s="383">
        <f>+'NO BORRAR'!G20</f>
        <v>8651.5041432044382</v>
      </c>
      <c r="D22" s="385">
        <f>+'NO BORRAR'!H20</f>
        <v>9200.0578427909477</v>
      </c>
      <c r="E22">
        <f t="shared" si="0"/>
        <v>8824.5342260685266</v>
      </c>
      <c r="F22">
        <f t="shared" si="1"/>
        <v>9384.0589996467661</v>
      </c>
      <c r="G22">
        <f t="shared" si="2"/>
        <v>9265.7609373719533</v>
      </c>
      <c r="H22">
        <f t="shared" si="3"/>
        <v>9853.2619496291045</v>
      </c>
    </row>
    <row r="23" spans="2:8" x14ac:dyDescent="0.25">
      <c r="C23" s="386">
        <f>+'NO BORRAR'!G21</f>
        <v>9576.1229933301456</v>
      </c>
      <c r="D23" s="387">
        <f>+'NO BORRAR'!H21</f>
        <v>11007.176246181976</v>
      </c>
      <c r="E23">
        <f t="shared" si="0"/>
        <v>9767.6454531967483</v>
      </c>
      <c r="F23">
        <f t="shared" si="1"/>
        <v>11227.319771105616</v>
      </c>
      <c r="G23">
        <f t="shared" si="2"/>
        <v>10256.027725856586</v>
      </c>
      <c r="H23">
        <f t="shared" si="3"/>
        <v>11788.685759660897</v>
      </c>
    </row>
    <row r="24" spans="2:8" ht="15.75" thickBot="1" x14ac:dyDescent="0.3">
      <c r="C24" s="383">
        <f>+'NO BORRAR'!G22</f>
        <v>14783.873197996965</v>
      </c>
      <c r="D24" s="385">
        <f>+'NO BORRAR'!H22</f>
        <v>16803.593766492821</v>
      </c>
      <c r="E24">
        <f t="shared" si="0"/>
        <v>15079.550661956904</v>
      </c>
      <c r="F24">
        <f t="shared" si="1"/>
        <v>17139.665641822678</v>
      </c>
      <c r="G24">
        <f t="shared" si="2"/>
        <v>15833.528195054751</v>
      </c>
      <c r="H24">
        <f t="shared" si="3"/>
        <v>17996.648923913814</v>
      </c>
    </row>
    <row r="25" spans="2:8" ht="15.75" thickBot="1" x14ac:dyDescent="0.3">
      <c r="C25" s="388">
        <f>+'NO BORRAR'!G23</f>
        <v>14305.518326511105</v>
      </c>
      <c r="D25" s="389">
        <f>+'NO BORRAR'!H23</f>
        <v>22178.818318199763</v>
      </c>
      <c r="E25">
        <f t="shared" si="0"/>
        <v>14591.628693041326</v>
      </c>
      <c r="F25">
        <f t="shared" si="1"/>
        <v>22622.394684563758</v>
      </c>
      <c r="G25">
        <f t="shared" si="2"/>
        <v>15321.210127693394</v>
      </c>
      <c r="H25">
        <f t="shared" si="3"/>
        <v>23753.514418791947</v>
      </c>
    </row>
    <row r="26" spans="2:8" x14ac:dyDescent="0.25">
      <c r="B26" s="502" t="s">
        <v>102</v>
      </c>
      <c r="C26" s="552">
        <f>+'NO BORRAR'!G24</f>
        <v>3407.6516840858558</v>
      </c>
      <c r="D26" s="387">
        <f>+'NO BORRAR'!H24</f>
        <v>4249.0347808922224</v>
      </c>
      <c r="E26" s="551">
        <f t="shared" si="0"/>
        <v>3475.804717767573</v>
      </c>
      <c r="F26">
        <f t="shared" si="1"/>
        <v>4334.0154765100669</v>
      </c>
      <c r="G26" s="551">
        <f t="shared" si="2"/>
        <v>3649.5949536559519</v>
      </c>
      <c r="H26">
        <f t="shared" si="3"/>
        <v>4550.7162503355703</v>
      </c>
    </row>
    <row r="27" spans="2:8" x14ac:dyDescent="0.25">
      <c r="C27" s="382">
        <f>+'NO BORRAR'!G25</f>
        <v>7579.4677540673629</v>
      </c>
      <c r="D27" s="384">
        <f>+'NO BORRAR'!H25</f>
        <v>9347.4753818023146</v>
      </c>
      <c r="E27">
        <f t="shared" si="0"/>
        <v>7731.05710914871</v>
      </c>
      <c r="F27">
        <f t="shared" si="1"/>
        <v>9534.4248894383618</v>
      </c>
      <c r="G27">
        <f t="shared" si="2"/>
        <v>8117.6099646061457</v>
      </c>
      <c r="H27">
        <f t="shared" si="3"/>
        <v>10011.146133910281</v>
      </c>
    </row>
    <row r="28" spans="2:8" x14ac:dyDescent="0.25">
      <c r="C28" s="382">
        <f>+'NO BORRAR'!G26</f>
        <v>13643.643661562115</v>
      </c>
      <c r="D28" s="384">
        <f>+'NO BORRAR'!H26</f>
        <v>16824.653414923014</v>
      </c>
      <c r="E28">
        <f t="shared" si="0"/>
        <v>13916.516534793358</v>
      </c>
      <c r="F28">
        <f t="shared" si="1"/>
        <v>17161.146483221473</v>
      </c>
      <c r="G28">
        <f t="shared" si="2"/>
        <v>14612.342361533027</v>
      </c>
      <c r="H28">
        <f t="shared" si="3"/>
        <v>18019.203807382546</v>
      </c>
    </row>
    <row r="29" spans="2:8" x14ac:dyDescent="0.25">
      <c r="C29" s="382">
        <f>+'NO BORRAR'!G27</f>
        <v>16230.9718972718</v>
      </c>
      <c r="D29" s="384">
        <f>+'NO BORRAR'!H27</f>
        <v>19944.489903796206</v>
      </c>
      <c r="E29">
        <f t="shared" si="0"/>
        <v>16555.591335217236</v>
      </c>
      <c r="F29">
        <f t="shared" si="1"/>
        <v>20343.379701872131</v>
      </c>
      <c r="G29">
        <f t="shared" si="2"/>
        <v>17383.370901978098</v>
      </c>
      <c r="H29">
        <f t="shared" si="3"/>
        <v>21360.54868696574</v>
      </c>
    </row>
    <row r="30" spans="2:8" x14ac:dyDescent="0.25">
      <c r="C30" s="382">
        <f>+'NO BORRAR'!G28</f>
        <v>23057.306509859329</v>
      </c>
      <c r="D30" s="384">
        <f>+'NO BORRAR'!H28</f>
        <v>26883.142641344773</v>
      </c>
      <c r="E30">
        <f t="shared" si="0"/>
        <v>23518.452640056516</v>
      </c>
      <c r="F30">
        <f t="shared" si="1"/>
        <v>27420.805494171669</v>
      </c>
      <c r="G30">
        <f t="shared" si="2"/>
        <v>24694.375272059344</v>
      </c>
      <c r="H30">
        <f t="shared" si="3"/>
        <v>28791.845768880255</v>
      </c>
    </row>
    <row r="31" spans="2:8" x14ac:dyDescent="0.25">
      <c r="C31" s="382">
        <f>+'NO BORRAR'!G29</f>
        <v>874.47683005381589</v>
      </c>
      <c r="D31" s="384">
        <f>+'NO BORRAR'!H29</f>
        <v>1175.3289504851746</v>
      </c>
      <c r="E31">
        <f t="shared" si="0"/>
        <v>891.96636665489223</v>
      </c>
      <c r="F31">
        <f t="shared" si="1"/>
        <v>1198.8355294948781</v>
      </c>
      <c r="G31">
        <f t="shared" si="2"/>
        <v>936.56468498763684</v>
      </c>
      <c r="H31">
        <f t="shared" si="3"/>
        <v>1258.7773059696219</v>
      </c>
    </row>
    <row r="32" spans="2:8" x14ac:dyDescent="0.25">
      <c r="C32" s="382">
        <f>+'NO BORRAR'!G30</f>
        <v>3589.1657967461088</v>
      </c>
      <c r="D32" s="384">
        <f>+'NO BORRAR'!H30</f>
        <v>4445.5914995740432</v>
      </c>
      <c r="E32">
        <f t="shared" si="0"/>
        <v>3660.9491126810308</v>
      </c>
      <c r="F32">
        <f t="shared" si="1"/>
        <v>4534.5033295655239</v>
      </c>
      <c r="G32">
        <f t="shared" si="2"/>
        <v>3843.9965683150826</v>
      </c>
      <c r="H32">
        <f t="shared" si="3"/>
        <v>4761.2284960438001</v>
      </c>
    </row>
    <row r="33" spans="2:8" x14ac:dyDescent="0.25">
      <c r="C33" s="382">
        <f>+'NO BORRAR'!G31</f>
        <v>1588.4991958775738</v>
      </c>
      <c r="D33" s="384">
        <f>+'NO BORRAR'!H31</f>
        <v>2119.0017682382031</v>
      </c>
      <c r="E33">
        <f t="shared" si="0"/>
        <v>1620.2691797951254</v>
      </c>
      <c r="F33">
        <f t="shared" si="1"/>
        <v>2161.381803602967</v>
      </c>
      <c r="G33">
        <f t="shared" si="2"/>
        <v>1701.2826387848818</v>
      </c>
      <c r="H33">
        <f t="shared" si="3"/>
        <v>2269.4508937831156</v>
      </c>
    </row>
    <row r="34" spans="2:8" x14ac:dyDescent="0.25">
      <c r="C34" s="382">
        <f>+'NO BORRAR'!G32</f>
        <v>1648.3674405546476</v>
      </c>
      <c r="D34" s="384">
        <f>+'NO BORRAR'!H32</f>
        <v>2623.8630415042239</v>
      </c>
      <c r="E34">
        <f t="shared" si="0"/>
        <v>1681.3347893657406</v>
      </c>
      <c r="F34">
        <f t="shared" si="1"/>
        <v>2676.3403023343085</v>
      </c>
      <c r="G34">
        <f t="shared" si="2"/>
        <v>1765.4015288340277</v>
      </c>
      <c r="H34">
        <f t="shared" si="3"/>
        <v>2810.157317451024</v>
      </c>
    </row>
    <row r="35" spans="2:8" x14ac:dyDescent="0.25">
      <c r="C35" s="382">
        <f>+'NO BORRAR'!G33</f>
        <v>1301.7936562099435</v>
      </c>
      <c r="D35" s="384">
        <f>+'NO BORRAR'!H33</f>
        <v>2232.8676325637243</v>
      </c>
      <c r="E35">
        <f t="shared" si="0"/>
        <v>1327.8295293341423</v>
      </c>
      <c r="F35">
        <f t="shared" si="1"/>
        <v>2277.5249852149987</v>
      </c>
      <c r="G35">
        <f t="shared" si="2"/>
        <v>1394.2210058008495</v>
      </c>
      <c r="H35">
        <f t="shared" si="3"/>
        <v>2391.4012344757489</v>
      </c>
    </row>
    <row r="36" spans="2:8" x14ac:dyDescent="0.25">
      <c r="C36" s="382">
        <f>+'NO BORRAR'!G34</f>
        <v>1131.2039728219086</v>
      </c>
      <c r="D36" s="384">
        <f>+'NO BORRAR'!H34</f>
        <v>1202.4056413239969</v>
      </c>
      <c r="E36">
        <f t="shared" si="0"/>
        <v>1153.8280522783468</v>
      </c>
      <c r="F36">
        <f t="shared" si="1"/>
        <v>1226.4537541504769</v>
      </c>
      <c r="G36">
        <f t="shared" si="2"/>
        <v>1211.5194548922643</v>
      </c>
      <c r="H36">
        <f t="shared" si="3"/>
        <v>1287.7764418580009</v>
      </c>
    </row>
    <row r="37" spans="2:8" x14ac:dyDescent="0.25">
      <c r="C37" s="382">
        <f>+'NO BORRAR'!G35</f>
        <v>2682.5980738462813</v>
      </c>
      <c r="D37" s="384">
        <f>+'NO BORRAR'!H35</f>
        <v>2993.4785982920189</v>
      </c>
      <c r="E37">
        <f t="shared" si="0"/>
        <v>2736.2500353232072</v>
      </c>
      <c r="F37">
        <f t="shared" si="1"/>
        <v>3053.3481702578592</v>
      </c>
      <c r="G37">
        <f t="shared" si="2"/>
        <v>2873.0625370893677</v>
      </c>
      <c r="H37">
        <f t="shared" si="3"/>
        <v>3206.0155787707522</v>
      </c>
    </row>
    <row r="38" spans="2:8" ht="15.75" thickBot="1" x14ac:dyDescent="0.3">
      <c r="C38" s="383">
        <f>+'NO BORRAR'!G36</f>
        <v>2093.9307582022561</v>
      </c>
      <c r="D38" s="385">
        <f>+'NO BORRAR'!H36</f>
        <v>2997.4899598977704</v>
      </c>
      <c r="E38">
        <f t="shared" si="0"/>
        <v>2135.8093733663013</v>
      </c>
      <c r="F38">
        <f t="shared" si="1"/>
        <v>3057.439759095726</v>
      </c>
      <c r="G38">
        <f t="shared" si="2"/>
        <v>2242.5998420346164</v>
      </c>
      <c r="H38">
        <f t="shared" si="3"/>
        <v>3210.3117470505126</v>
      </c>
    </row>
    <row r="39" spans="2:8" x14ac:dyDescent="0.25">
      <c r="B39" s="399" t="s">
        <v>227</v>
      </c>
      <c r="C39" s="382">
        <f>+'NO BORRAR'!G37</f>
        <v>3128.6695071290542</v>
      </c>
      <c r="D39" s="384">
        <f>+'NO BORRAR'!H37</f>
        <v>4477.1472842102939</v>
      </c>
      <c r="E39">
        <f t="shared" ref="E39" si="4">1.02*C39</f>
        <v>3191.2428972716352</v>
      </c>
      <c r="F39">
        <f t="shared" ref="F39" si="5">1.02*D39</f>
        <v>4566.6902298944997</v>
      </c>
      <c r="G39">
        <f t="shared" ref="G39:G40" si="6">1.05*E39</f>
        <v>3350.8050421352173</v>
      </c>
      <c r="H39">
        <f t="shared" ref="H39:H40" si="7">1.05*F39</f>
        <v>4795.0247413892248</v>
      </c>
    </row>
    <row r="40" spans="2:8" x14ac:dyDescent="0.25">
      <c r="B40" s="606" t="s">
        <v>165</v>
      </c>
      <c r="C40" s="403">
        <f>+'NO BORRAR'!G38</f>
        <v>6217.2336863815581</v>
      </c>
      <c r="D40">
        <f>+'NO BORRAR'!H38</f>
        <v>8655.2491621976878</v>
      </c>
      <c r="E40">
        <f>1.02*C40</f>
        <v>6341.5783601091889</v>
      </c>
      <c r="F40">
        <f>1.02*D40</f>
        <v>8828.3541454416409</v>
      </c>
      <c r="G40">
        <f t="shared" si="6"/>
        <v>6658.6572781146488</v>
      </c>
      <c r="H40">
        <f t="shared" si="7"/>
        <v>9269.771852713724</v>
      </c>
    </row>
    <row r="41" spans="2:8" x14ac:dyDescent="0.25">
      <c r="B41" s="607"/>
    </row>
    <row r="45" spans="2:8" x14ac:dyDescent="0.25">
      <c r="B45" s="503" t="s">
        <v>280</v>
      </c>
      <c r="C45">
        <f>2480*1.1</f>
        <v>2728</v>
      </c>
      <c r="D45">
        <f>+C45*1.1</f>
        <v>3000.8</v>
      </c>
      <c r="E45">
        <f>2480*1.28</f>
        <v>3174.4</v>
      </c>
      <c r="F45">
        <f>1.08*E45</f>
        <v>3428.3520000000003</v>
      </c>
      <c r="G45">
        <f>2480*1.4</f>
        <v>3472</v>
      </c>
      <c r="H45">
        <f>1.03*G45</f>
        <v>3576.1600000000003</v>
      </c>
    </row>
    <row r="46" spans="2:8" ht="15.75" thickBot="1" x14ac:dyDescent="0.3">
      <c r="B46" s="504" t="s">
        <v>318</v>
      </c>
      <c r="C46">
        <f>9750*1.1</f>
        <v>10725</v>
      </c>
      <c r="D46">
        <f>+C46*1.1</f>
        <v>11797.500000000002</v>
      </c>
      <c r="E46">
        <f>9750*1.27</f>
        <v>12382.5</v>
      </c>
      <c r="F46">
        <f>+E46*1.08</f>
        <v>13373.1</v>
      </c>
      <c r="G46">
        <f>9750*1.38</f>
        <v>13454.999999999998</v>
      </c>
      <c r="H46">
        <f>+G46*1.03</f>
        <v>13858.649999999998</v>
      </c>
    </row>
  </sheetData>
  <sheetProtection algorithmName="SHA-512" hashValue="xR9+webCnVepqGU2ur+9xSOPd8R9y5XjlKnB1BqrF7Z8koHd3uPAASq0nhUSZHTM8zJ8bp+S7lYsWUzugmv/YA==" saltValue="m8K1reQNKuQvr2+ZYL+MmQ==" spinCount="100000" sheet="1" objects="1" scenarios="1"/>
  <mergeCells count="1">
    <mergeCell ref="B40:B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C3:AO24"/>
  <sheetViews>
    <sheetView tabSelected="1" workbookViewId="0">
      <selection activeCell="G28" sqref="G28"/>
    </sheetView>
  </sheetViews>
  <sheetFormatPr baseColWidth="10" defaultRowHeight="15" x14ac:dyDescent="0.25"/>
  <cols>
    <col min="1" max="2" width="11.42578125" style="276"/>
    <col min="3" max="3" width="5.28515625" style="405" bestFit="1" customWidth="1"/>
    <col min="4" max="4" width="86.42578125" style="276" bestFit="1" customWidth="1"/>
    <col min="5" max="5" width="7.28515625" style="276" bestFit="1" customWidth="1"/>
    <col min="6" max="7" width="11.42578125" style="404"/>
    <col min="8" max="8" width="16.140625" style="404" bestFit="1" customWidth="1"/>
    <col min="9" max="40" width="11.42578125" style="276"/>
    <col min="41" max="41" width="0" style="276" hidden="1" customWidth="1"/>
    <col min="42" max="16384" width="11.42578125" style="276"/>
  </cols>
  <sheetData>
    <row r="3" spans="3:41" ht="15.75" thickBot="1" x14ac:dyDescent="0.3"/>
    <row r="4" spans="3:41" x14ac:dyDescent="0.25">
      <c r="C4" s="610" t="s">
        <v>295</v>
      </c>
      <c r="D4" s="611"/>
      <c r="E4" s="611"/>
      <c r="F4" s="611"/>
      <c r="G4" s="611"/>
      <c r="H4" s="612"/>
      <c r="AO4" s="409" t="str">
        <f>+Diseño!D10</f>
        <v>Excavación y Muro</v>
      </c>
    </row>
    <row r="5" spans="3:41" ht="15.75" thickBot="1" x14ac:dyDescent="0.3">
      <c r="C5" s="613"/>
      <c r="D5" s="614"/>
      <c r="E5" s="614"/>
      <c r="F5" s="614"/>
      <c r="G5" s="614"/>
      <c r="H5" s="615"/>
    </row>
    <row r="6" spans="3:41" ht="15.75" thickBot="1" x14ac:dyDescent="0.3">
      <c r="C6" s="438" t="s">
        <v>185</v>
      </c>
      <c r="D6" s="456" t="s">
        <v>1</v>
      </c>
      <c r="E6" s="457" t="s">
        <v>4</v>
      </c>
      <c r="F6" s="457" t="s">
        <v>274</v>
      </c>
      <c r="G6" s="456" t="s">
        <v>7</v>
      </c>
      <c r="H6" s="457" t="s">
        <v>279</v>
      </c>
    </row>
    <row r="7" spans="3:41" ht="15.75" thickBot="1" x14ac:dyDescent="0.3">
      <c r="C7" s="462">
        <v>1</v>
      </c>
      <c r="D7" s="616" t="s">
        <v>292</v>
      </c>
      <c r="E7" s="616"/>
      <c r="F7" s="616"/>
      <c r="G7" s="616"/>
      <c r="H7" s="617"/>
    </row>
    <row r="8" spans="3:41" hidden="1" x14ac:dyDescent="0.25">
      <c r="C8" s="466"/>
      <c r="E8" s="439"/>
      <c r="F8" s="439"/>
      <c r="G8" s="449"/>
      <c r="H8" s="439"/>
    </row>
    <row r="9" spans="3:41" x14ac:dyDescent="0.25">
      <c r="C9" s="462">
        <v>1.1000000000000001</v>
      </c>
      <c r="D9" s="467" t="s">
        <v>296</v>
      </c>
      <c r="E9" s="468" t="s">
        <v>275</v>
      </c>
      <c r="F9" s="478">
        <f>+Cubicación!F11</f>
        <v>621.20000000000005</v>
      </c>
      <c r="G9" s="470">
        <f>IF(F9="","",'APU DT-18'!F20)</f>
        <v>3828.3432324890391</v>
      </c>
      <c r="H9" s="471">
        <f>+G9*F9</f>
        <v>2378166.8160221912</v>
      </c>
    </row>
    <row r="10" spans="3:41" x14ac:dyDescent="0.25">
      <c r="C10" s="463">
        <v>1.2</v>
      </c>
      <c r="D10" s="458" t="s">
        <v>297</v>
      </c>
      <c r="E10" s="440" t="s">
        <v>275</v>
      </c>
      <c r="F10" s="444">
        <f>+Cubicación!F12</f>
        <v>140.80000000000001</v>
      </c>
      <c r="G10" s="450">
        <f>IF(F10="","",'APU DT-18'!F23)</f>
        <v>4017.378648160076</v>
      </c>
      <c r="H10" s="447">
        <f t="shared" ref="H10:H21" si="0">+G10*F10</f>
        <v>565646.91366093874</v>
      </c>
    </row>
    <row r="11" spans="3:41" x14ac:dyDescent="0.25">
      <c r="C11" s="463">
        <v>1.3</v>
      </c>
      <c r="D11" s="459" t="s">
        <v>298</v>
      </c>
      <c r="E11" s="440" t="s">
        <v>275</v>
      </c>
      <c r="F11" s="444">
        <f>+Cubicación!F13</f>
        <v>140.80000000000001</v>
      </c>
      <c r="G11" s="450">
        <f>IF(F11="","",'APU DT-18'!F25)</f>
        <v>2136.1152410294358</v>
      </c>
      <c r="H11" s="447">
        <f t="shared" si="0"/>
        <v>300765.02593694458</v>
      </c>
    </row>
    <row r="12" spans="3:41" x14ac:dyDescent="0.25">
      <c r="C12" s="463">
        <v>1.4</v>
      </c>
      <c r="D12" s="458" t="s">
        <v>299</v>
      </c>
      <c r="E12" s="440" t="s">
        <v>275</v>
      </c>
      <c r="F12" s="444">
        <f>+Cubicación!F14</f>
        <v>140.80000000000001</v>
      </c>
      <c r="G12" s="450">
        <f>IF(F12="","",'APU DT-18'!F26)</f>
        <v>1166.8048070729528</v>
      </c>
      <c r="H12" s="447">
        <f t="shared" si="0"/>
        <v>164286.11683587177</v>
      </c>
    </row>
    <row r="13" spans="3:41" hidden="1" x14ac:dyDescent="0.25">
      <c r="C13" s="463">
        <v>1.5</v>
      </c>
      <c r="D13" s="458" t="s">
        <v>300</v>
      </c>
      <c r="E13" s="440" t="s">
        <v>275</v>
      </c>
      <c r="F13" s="443">
        <v>0</v>
      </c>
      <c r="G13" s="450">
        <f>IF(F13="","",'APU DT-18'!F27)</f>
        <v>2838.0383360691503</v>
      </c>
      <c r="H13" s="447">
        <f t="shared" si="0"/>
        <v>0</v>
      </c>
    </row>
    <row r="14" spans="3:41" x14ac:dyDescent="0.25">
      <c r="C14" s="463">
        <v>1.5</v>
      </c>
      <c r="D14" s="458" t="s">
        <v>314</v>
      </c>
      <c r="E14" s="440" t="s">
        <v>275</v>
      </c>
      <c r="F14" s="443">
        <f>+Cubicación!F16</f>
        <v>480.40000000000003</v>
      </c>
      <c r="G14" s="450">
        <f>IF(F14="","",'APU DT-18'!F28)</f>
        <v>2545.7103590500133</v>
      </c>
      <c r="H14" s="447">
        <f t="shared" si="0"/>
        <v>1222959.2564876263</v>
      </c>
    </row>
    <row r="15" spans="3:41" ht="15.75" thickBot="1" x14ac:dyDescent="0.3">
      <c r="C15" s="464">
        <v>1.6</v>
      </c>
      <c r="D15" s="460" t="s">
        <v>302</v>
      </c>
      <c r="E15" s="442" t="s">
        <v>275</v>
      </c>
      <c r="F15" s="446">
        <f>+Cubicación!F17</f>
        <v>0</v>
      </c>
      <c r="G15" s="452">
        <f>IF(F15="","",'APU DT-18'!F24)</f>
        <v>6487</v>
      </c>
      <c r="H15" s="448">
        <f t="shared" si="0"/>
        <v>0</v>
      </c>
    </row>
    <row r="16" spans="3:41" hidden="1" x14ac:dyDescent="0.25">
      <c r="C16" s="472"/>
      <c r="D16" s="473"/>
      <c r="E16" s="474"/>
      <c r="F16" s="475"/>
      <c r="G16" s="476"/>
      <c r="H16" s="477"/>
    </row>
    <row r="17" spans="3:8" hidden="1" x14ac:dyDescent="0.25">
      <c r="C17" s="463"/>
      <c r="E17" s="441" t="s">
        <v>4</v>
      </c>
      <c r="F17" s="441" t="s">
        <v>274</v>
      </c>
      <c r="G17" s="451" t="s">
        <v>7</v>
      </c>
      <c r="H17" s="441" t="s">
        <v>279</v>
      </c>
    </row>
    <row r="18" spans="3:8" ht="15.75" thickBot="1" x14ac:dyDescent="0.3">
      <c r="C18" s="466">
        <v>2</v>
      </c>
      <c r="D18" s="608" t="s">
        <v>293</v>
      </c>
      <c r="E18" s="608"/>
      <c r="F18" s="608"/>
      <c r="G18" s="608"/>
      <c r="H18" s="609"/>
    </row>
    <row r="19" spans="3:8" x14ac:dyDescent="0.25">
      <c r="C19" s="462">
        <v>2.1</v>
      </c>
      <c r="D19" s="467" t="s">
        <v>303</v>
      </c>
      <c r="E19" s="468" t="s">
        <v>275</v>
      </c>
      <c r="F19" s="469">
        <f>+Cubicación!F19</f>
        <v>25.6</v>
      </c>
      <c r="G19" s="470">
        <f>IF(F19="","",'APU DT-18'!F21)</f>
        <v>15234.148538242564</v>
      </c>
      <c r="H19" s="471">
        <f t="shared" si="0"/>
        <v>389994.20257900964</v>
      </c>
    </row>
    <row r="20" spans="3:8" x14ac:dyDescent="0.25">
      <c r="C20" s="463">
        <v>2.2000000000000002</v>
      </c>
      <c r="D20" s="458" t="s">
        <v>273</v>
      </c>
      <c r="E20" s="440" t="s">
        <v>278</v>
      </c>
      <c r="F20" s="445">
        <f>+Cubicación!F20</f>
        <v>731.66484227846092</v>
      </c>
      <c r="G20" s="450">
        <f>IF(F20="","",'APU DT-18'!F29)</f>
        <v>2864.4</v>
      </c>
      <c r="H20" s="447">
        <f t="shared" si="0"/>
        <v>2095780.7742224236</v>
      </c>
    </row>
    <row r="21" spans="3:8" ht="15.75" thickBot="1" x14ac:dyDescent="0.3">
      <c r="C21" s="464">
        <v>2.2999999999999998</v>
      </c>
      <c r="D21" s="460" t="s">
        <v>304</v>
      </c>
      <c r="E21" s="442" t="s">
        <v>275</v>
      </c>
      <c r="F21" s="446">
        <f>+Cubicación!F21</f>
        <v>25.6</v>
      </c>
      <c r="G21" s="452">
        <f>IF(F21="","",'APU DT-18'!F22)</f>
        <v>3802.9083956696741</v>
      </c>
      <c r="H21" s="448">
        <f t="shared" si="0"/>
        <v>97354.454929143656</v>
      </c>
    </row>
    <row r="22" spans="3:8" ht="15.75" thickBot="1" x14ac:dyDescent="0.3">
      <c r="C22" s="466">
        <v>3</v>
      </c>
      <c r="D22" s="608" t="s">
        <v>318</v>
      </c>
      <c r="E22" s="608"/>
      <c r="F22" s="608"/>
      <c r="G22" s="608"/>
      <c r="H22" s="609"/>
    </row>
    <row r="23" spans="3:8" ht="15.75" thickBot="1" x14ac:dyDescent="0.3">
      <c r="C23" s="462">
        <v>3.1</v>
      </c>
      <c r="D23" s="505" t="s">
        <v>319</v>
      </c>
      <c r="E23" s="506" t="s">
        <v>203</v>
      </c>
      <c r="F23" s="527">
        <f>+Cubicación!F23</f>
        <v>110.4</v>
      </c>
      <c r="G23" s="507">
        <f>IF(F23="","",'APU DT-18'!F30)</f>
        <v>11261.25</v>
      </c>
      <c r="H23" s="508">
        <f>+G23*F23</f>
        <v>1243242</v>
      </c>
    </row>
    <row r="24" spans="3:8" ht="19.5" thickBot="1" x14ac:dyDescent="0.35">
      <c r="C24" s="465">
        <v>4</v>
      </c>
      <c r="D24" s="461" t="s">
        <v>294</v>
      </c>
      <c r="E24" s="453"/>
      <c r="F24" s="454"/>
      <c r="G24" s="454"/>
      <c r="H24" s="455">
        <f>SUM(H9:H21)</f>
        <v>7214953.5606741495</v>
      </c>
    </row>
  </sheetData>
  <sheetProtection algorithmName="SHA-512" hashValue="4QlrM7GCfNrEzFF0pyTTOQs2ZjB/qE+gTmkKsSBciq5mimE3DVRo+cCMK9bFKTiU0GsptzVlJiBI+IjzyNNgqA==" saltValue="U2zqChh2lz/RKiC2jJaNBQ==" spinCount="100000" sheet="1" objects="1" scenarios="1"/>
  <mergeCells count="4">
    <mergeCell ref="D18:H18"/>
    <mergeCell ref="C4:H5"/>
    <mergeCell ref="D7:H7"/>
    <mergeCell ref="D22:H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2:P108"/>
  <sheetViews>
    <sheetView workbookViewId="0">
      <selection activeCell="K94" sqref="K94"/>
    </sheetView>
  </sheetViews>
  <sheetFormatPr baseColWidth="10" defaultRowHeight="15" x14ac:dyDescent="0.25"/>
  <cols>
    <col min="2" max="2" width="5.28515625" bestFit="1" customWidth="1"/>
    <col min="3" max="3" width="40.42578125" bestFit="1" customWidth="1"/>
    <col min="4" max="4" width="5.42578125" bestFit="1" customWidth="1"/>
    <col min="5" max="5" width="5.710937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9.5703125" bestFit="1" customWidth="1"/>
    <col min="12" max="12" width="7.140625" bestFit="1" customWidth="1"/>
    <col min="13" max="13" width="15.85546875" bestFit="1" customWidth="1"/>
  </cols>
  <sheetData>
    <row r="2" spans="2:16" ht="15.75" thickBot="1" x14ac:dyDescent="0.3"/>
    <row r="3" spans="2:16" ht="15.75" thickBot="1" x14ac:dyDescent="0.3">
      <c r="B3" s="1" t="s">
        <v>0</v>
      </c>
      <c r="C3" s="2" t="s">
        <v>1</v>
      </c>
      <c r="D3" s="3" t="s">
        <v>2</v>
      </c>
      <c r="E3" s="4" t="s">
        <v>3</v>
      </c>
      <c r="F3" s="618" t="s">
        <v>4</v>
      </c>
      <c r="G3" s="619"/>
      <c r="H3" s="620"/>
      <c r="I3" s="2" t="s">
        <v>5</v>
      </c>
      <c r="J3" s="2" t="s">
        <v>6</v>
      </c>
      <c r="K3" s="2" t="s">
        <v>7</v>
      </c>
      <c r="L3" s="5" t="s">
        <v>8</v>
      </c>
    </row>
    <row r="4" spans="2:16" x14ac:dyDescent="0.25">
      <c r="B4" s="6"/>
      <c r="C4" s="7" t="s">
        <v>9</v>
      </c>
      <c r="D4" s="8"/>
      <c r="E4" s="59">
        <f>+rendimiento!D5</f>
        <v>7</v>
      </c>
      <c r="F4" s="8"/>
      <c r="G4" s="8"/>
      <c r="H4" s="8"/>
      <c r="I4" s="9" t="s">
        <v>10</v>
      </c>
      <c r="J4" s="9">
        <v>1</v>
      </c>
      <c r="K4" s="10"/>
      <c r="L4" s="11">
        <f>+SUM(L5:L24)</f>
        <v>41205.976428571426</v>
      </c>
    </row>
    <row r="5" spans="2:16" x14ac:dyDescent="0.25">
      <c r="B5" s="12"/>
      <c r="C5" s="13" t="s">
        <v>11</v>
      </c>
      <c r="D5" s="14"/>
      <c r="E5" s="14"/>
      <c r="F5" s="14"/>
      <c r="G5" s="14"/>
      <c r="H5" s="14"/>
      <c r="I5" s="14"/>
      <c r="J5" s="15"/>
      <c r="K5" s="16"/>
      <c r="L5" s="17"/>
    </row>
    <row r="6" spans="2:16" x14ac:dyDescent="0.25">
      <c r="B6" s="12"/>
      <c r="C6" s="18" t="s">
        <v>12</v>
      </c>
      <c r="D6" s="14"/>
      <c r="E6" s="14"/>
      <c r="F6" s="14"/>
      <c r="G6" s="14"/>
      <c r="H6" s="14"/>
      <c r="I6" s="14"/>
      <c r="J6" s="15"/>
      <c r="K6" s="16"/>
      <c r="L6" s="17"/>
    </row>
    <row r="7" spans="2:16" x14ac:dyDescent="0.25">
      <c r="B7" s="19"/>
      <c r="C7" s="13" t="s">
        <v>13</v>
      </c>
      <c r="D7" s="14">
        <v>1</v>
      </c>
      <c r="E7" s="14">
        <f>+$E$4/D7</f>
        <v>7</v>
      </c>
      <c r="F7" s="14" t="s">
        <v>10</v>
      </c>
      <c r="G7" s="14" t="s">
        <v>14</v>
      </c>
      <c r="H7" s="14" t="s">
        <v>15</v>
      </c>
      <c r="I7" s="14" t="s">
        <v>15</v>
      </c>
      <c r="J7" s="15">
        <f>+D7/E7/D7</f>
        <v>0.14285714285714285</v>
      </c>
      <c r="K7" s="16">
        <f>+'Mat y mano obra'!C10</f>
        <v>8500</v>
      </c>
      <c r="L7" s="17">
        <f>+K7*J7</f>
        <v>1214.2857142857142</v>
      </c>
    </row>
    <row r="8" spans="2:16" x14ac:dyDescent="0.25">
      <c r="B8" s="19"/>
      <c r="C8" s="13" t="s">
        <v>16</v>
      </c>
      <c r="D8" s="14">
        <v>1</v>
      </c>
      <c r="E8" s="14">
        <f>+$E$4/D8</f>
        <v>7</v>
      </c>
      <c r="F8" s="14" t="s">
        <v>10</v>
      </c>
      <c r="G8" s="14" t="s">
        <v>14</v>
      </c>
      <c r="H8" s="14" t="s">
        <v>15</v>
      </c>
      <c r="I8" s="14" t="s">
        <v>15</v>
      </c>
      <c r="J8" s="15">
        <f>+D8/E8/D8</f>
        <v>0.14285714285714285</v>
      </c>
      <c r="K8" s="16">
        <f>+'Mat y mano obra'!C11</f>
        <v>12500</v>
      </c>
      <c r="L8" s="17">
        <f>+K8*J8</f>
        <v>1785.7142857142856</v>
      </c>
    </row>
    <row r="9" spans="2:16" x14ac:dyDescent="0.25">
      <c r="B9" s="19"/>
      <c r="C9" s="13" t="s">
        <v>17</v>
      </c>
      <c r="D9" s="14"/>
      <c r="E9" s="14"/>
      <c r="F9" s="14"/>
      <c r="G9" s="14"/>
      <c r="H9" s="14"/>
      <c r="I9" s="14" t="s">
        <v>18</v>
      </c>
      <c r="J9" s="15">
        <v>0.75</v>
      </c>
      <c r="K9" s="58">
        <f>+'Mat y mano obra'!C20</f>
        <v>900</v>
      </c>
      <c r="L9" s="17">
        <f t="shared" ref="L9:L13" si="0">+K9*J9</f>
        <v>675</v>
      </c>
    </row>
    <row r="10" spans="2:16" x14ac:dyDescent="0.25">
      <c r="B10" s="19"/>
      <c r="C10" s="364" t="s">
        <v>59</v>
      </c>
      <c r="D10" s="365"/>
      <c r="E10" s="365"/>
      <c r="F10" s="365"/>
      <c r="G10" s="365"/>
      <c r="H10" s="365"/>
      <c r="I10" s="365" t="s">
        <v>10</v>
      </c>
      <c r="J10" s="366">
        <v>0.4</v>
      </c>
      <c r="K10" s="367">
        <f>('APU DT-18'!C13*'APU DT-18'!C14)+'Mat y mano obra'!C21</f>
        <v>5552</v>
      </c>
      <c r="L10" s="17">
        <f t="shared" si="0"/>
        <v>2220.8000000000002</v>
      </c>
    </row>
    <row r="11" spans="2:16" x14ac:dyDescent="0.25">
      <c r="B11" s="19"/>
      <c r="C11" s="364" t="s">
        <v>60</v>
      </c>
      <c r="D11" s="365"/>
      <c r="E11" s="365"/>
      <c r="F11" s="365"/>
      <c r="G11" s="365"/>
      <c r="H11" s="365"/>
      <c r="I11" s="365" t="s">
        <v>10</v>
      </c>
      <c r="J11" s="366">
        <v>0.6</v>
      </c>
      <c r="K11" s="367">
        <f>+('APU DT-18'!C13*'APU DT-18'!C14)+'Mat y mano obra'!C22</f>
        <v>5500</v>
      </c>
      <c r="L11" s="17">
        <f t="shared" si="0"/>
        <v>3300</v>
      </c>
    </row>
    <row r="12" spans="2:16" x14ac:dyDescent="0.25">
      <c r="B12" s="19"/>
      <c r="C12" s="364" t="s">
        <v>21</v>
      </c>
      <c r="D12" s="365"/>
      <c r="E12" s="365"/>
      <c r="F12" s="365"/>
      <c r="G12" s="365"/>
      <c r="H12" s="365"/>
      <c r="I12" s="365" t="s">
        <v>22</v>
      </c>
      <c r="J12" s="366">
        <v>4</v>
      </c>
      <c r="K12" s="368">
        <f>+'Mat y mano obra'!C23+6.25*'APU DT-18'!C13</f>
        <v>3055</v>
      </c>
      <c r="L12" s="17">
        <f t="shared" si="0"/>
        <v>12220</v>
      </c>
      <c r="M12" t="s">
        <v>57</v>
      </c>
    </row>
    <row r="13" spans="2:16" x14ac:dyDescent="0.25">
      <c r="B13" s="12"/>
      <c r="C13" s="13" t="s">
        <v>23</v>
      </c>
      <c r="D13" s="14"/>
      <c r="E13" s="14"/>
      <c r="F13" s="14"/>
      <c r="G13" s="14"/>
      <c r="H13" s="14"/>
      <c r="I13" s="14" t="s">
        <v>24</v>
      </c>
      <c r="J13" s="15">
        <v>2.5000000000000001E-2</v>
      </c>
      <c r="K13" s="16"/>
      <c r="L13" s="17">
        <f t="shared" si="0"/>
        <v>0</v>
      </c>
    </row>
    <row r="14" spans="2:16" x14ac:dyDescent="0.25">
      <c r="B14" s="12"/>
      <c r="C14" s="13" t="s">
        <v>25</v>
      </c>
      <c r="D14" s="14"/>
      <c r="E14" s="14"/>
      <c r="F14" s="14"/>
      <c r="G14" s="14"/>
      <c r="H14" s="14"/>
      <c r="I14" s="14" t="s">
        <v>26</v>
      </c>
      <c r="J14" s="20">
        <v>5</v>
      </c>
      <c r="K14" s="16" t="s">
        <v>27</v>
      </c>
      <c r="L14" s="17">
        <f>+(L10+L11+L12)*J14%</f>
        <v>887.04</v>
      </c>
    </row>
    <row r="15" spans="2:16" x14ac:dyDescent="0.25">
      <c r="B15" s="12"/>
      <c r="C15" s="21" t="s">
        <v>28</v>
      </c>
      <c r="D15" s="14"/>
      <c r="E15" s="14"/>
      <c r="F15" s="14"/>
      <c r="G15" s="14"/>
      <c r="H15" s="14"/>
      <c r="I15" s="14"/>
      <c r="J15" s="15"/>
      <c r="K15" s="16"/>
      <c r="L15" s="17"/>
    </row>
    <row r="16" spans="2:16" x14ac:dyDescent="0.25">
      <c r="B16" s="12"/>
      <c r="C16" s="21" t="s">
        <v>29</v>
      </c>
      <c r="D16" s="14"/>
      <c r="E16" s="14"/>
      <c r="F16" s="14"/>
      <c r="G16" s="14"/>
      <c r="H16" s="14"/>
      <c r="I16" s="14"/>
      <c r="J16" s="15"/>
      <c r="K16" s="16"/>
      <c r="L16" s="17"/>
      <c r="P16">
        <f>1000/42.5</f>
        <v>23.529411764705884</v>
      </c>
    </row>
    <row r="17" spans="2:12" x14ac:dyDescent="0.25">
      <c r="B17" s="19"/>
      <c r="C17" s="13" t="s">
        <v>30</v>
      </c>
      <c r="D17" s="14">
        <v>1</v>
      </c>
      <c r="E17" s="14">
        <f t="shared" ref="E17:E23" si="1">+$E$4/D17</f>
        <v>7</v>
      </c>
      <c r="F17" s="14" t="s">
        <v>10</v>
      </c>
      <c r="G17" s="14" t="s">
        <v>14</v>
      </c>
      <c r="H17" s="14" t="s">
        <v>15</v>
      </c>
      <c r="I17" s="14" t="s">
        <v>15</v>
      </c>
      <c r="J17" s="15">
        <f>+D17/E17</f>
        <v>0.14285714285714285</v>
      </c>
      <c r="K17" s="290">
        <f>+'Mat y mano obra'!C5</f>
        <v>14806</v>
      </c>
      <c r="L17" s="17">
        <f>+K17*J17</f>
        <v>2115.1428571428569</v>
      </c>
    </row>
    <row r="18" spans="2:12" x14ac:dyDescent="0.25">
      <c r="B18" s="19"/>
      <c r="C18" s="13" t="s">
        <v>31</v>
      </c>
      <c r="D18" s="14">
        <v>2</v>
      </c>
      <c r="E18" s="14">
        <f t="shared" si="1"/>
        <v>3.5</v>
      </c>
      <c r="F18" s="14" t="s">
        <v>10</v>
      </c>
      <c r="G18" s="14" t="s">
        <v>14</v>
      </c>
      <c r="H18" s="14" t="s">
        <v>15</v>
      </c>
      <c r="I18" s="14" t="s">
        <v>15</v>
      </c>
      <c r="J18" s="15">
        <f>+D18/E18/D18</f>
        <v>0.2857142857142857</v>
      </c>
      <c r="K18" s="290">
        <f>+'Mat y mano obra'!C7</f>
        <v>11846</v>
      </c>
      <c r="L18" s="17">
        <f>+K18*J18</f>
        <v>3384.5714285714284</v>
      </c>
    </row>
    <row r="19" spans="2:12" x14ac:dyDescent="0.25">
      <c r="B19" s="19"/>
      <c r="C19" s="18" t="s">
        <v>32</v>
      </c>
      <c r="D19" s="14"/>
      <c r="E19" s="14"/>
      <c r="F19" s="14"/>
      <c r="G19" s="14"/>
      <c r="H19" s="14"/>
      <c r="I19" s="14"/>
      <c r="J19" s="15"/>
      <c r="K19" s="290"/>
      <c r="L19" s="17"/>
    </row>
    <row r="20" spans="2:12" x14ac:dyDescent="0.25">
      <c r="B20" s="19"/>
      <c r="C20" s="21" t="s">
        <v>33</v>
      </c>
      <c r="D20" s="14"/>
      <c r="E20" s="14"/>
      <c r="F20" s="14" t="s">
        <v>10</v>
      </c>
      <c r="G20" s="14" t="s">
        <v>14</v>
      </c>
      <c r="H20" s="14" t="s">
        <v>15</v>
      </c>
      <c r="I20" s="14" t="s">
        <v>15</v>
      </c>
      <c r="J20" s="15"/>
      <c r="K20" s="290"/>
      <c r="L20" s="17"/>
    </row>
    <row r="21" spans="2:12" x14ac:dyDescent="0.25">
      <c r="B21" s="19"/>
      <c r="C21" s="13" t="s">
        <v>34</v>
      </c>
      <c r="D21" s="14">
        <v>3</v>
      </c>
      <c r="E21" s="22">
        <f t="shared" si="1"/>
        <v>2.3333333333333335</v>
      </c>
      <c r="F21" s="14" t="s">
        <v>10</v>
      </c>
      <c r="G21" s="14" t="s">
        <v>14</v>
      </c>
      <c r="H21" s="14" t="s">
        <v>35</v>
      </c>
      <c r="I21" s="14" t="s">
        <v>35</v>
      </c>
      <c r="J21" s="15">
        <f>+D21/E21/D21</f>
        <v>0.42857142857142855</v>
      </c>
      <c r="K21" s="290">
        <f>+'Mat y mano obra'!C8</f>
        <v>10187</v>
      </c>
      <c r="L21" s="17">
        <f>+K21*J21</f>
        <v>4365.8571428571422</v>
      </c>
    </row>
    <row r="22" spans="2:12" x14ac:dyDescent="0.25">
      <c r="B22" s="19"/>
      <c r="C22" s="13" t="s">
        <v>36</v>
      </c>
      <c r="D22" s="14">
        <v>1</v>
      </c>
      <c r="E22" s="14">
        <f t="shared" si="1"/>
        <v>7</v>
      </c>
      <c r="F22" s="14" t="s">
        <v>10</v>
      </c>
      <c r="G22" s="14" t="s">
        <v>14</v>
      </c>
      <c r="H22" s="14" t="s">
        <v>35</v>
      </c>
      <c r="I22" s="14" t="s">
        <v>35</v>
      </c>
      <c r="J22" s="15">
        <f>+D22/E22</f>
        <v>0.14285714285714285</v>
      </c>
      <c r="K22" s="290">
        <f>+'Mat y mano obra'!C8</f>
        <v>10187</v>
      </c>
      <c r="L22" s="17">
        <f t="shared" ref="L22:L23" si="2">+K22*J22</f>
        <v>1455.2857142857142</v>
      </c>
    </row>
    <row r="23" spans="2:12" x14ac:dyDescent="0.25">
      <c r="B23" s="19"/>
      <c r="C23" s="13" t="s">
        <v>55</v>
      </c>
      <c r="D23" s="14">
        <v>0.5</v>
      </c>
      <c r="E23" s="14">
        <f t="shared" si="1"/>
        <v>14</v>
      </c>
      <c r="F23" s="14" t="s">
        <v>10</v>
      </c>
      <c r="G23" s="14" t="s">
        <v>14</v>
      </c>
      <c r="H23" s="14" t="s">
        <v>15</v>
      </c>
      <c r="I23" s="14" t="s">
        <v>15</v>
      </c>
      <c r="J23" s="15">
        <f>+D23/E23</f>
        <v>3.5714285714285712E-2</v>
      </c>
      <c r="K23" s="290">
        <f>+'Mat y mano obra'!C4</f>
        <v>20142</v>
      </c>
      <c r="L23" s="17">
        <f t="shared" si="2"/>
        <v>719.35714285714278</v>
      </c>
    </row>
    <row r="24" spans="2:12" ht="15.75" thickBot="1" x14ac:dyDescent="0.3">
      <c r="B24" s="23"/>
      <c r="C24" s="24" t="s">
        <v>38</v>
      </c>
      <c r="D24" s="25"/>
      <c r="E24" s="25"/>
      <c r="F24" s="25"/>
      <c r="G24" s="25"/>
      <c r="H24" s="25"/>
      <c r="I24" s="25" t="s">
        <v>26</v>
      </c>
      <c r="J24" s="26">
        <v>57</v>
      </c>
      <c r="K24" s="27" t="s">
        <v>27</v>
      </c>
      <c r="L24" s="28">
        <f>+SUM(L17:L23)*J24%</f>
        <v>6862.9221428571418</v>
      </c>
    </row>
    <row r="26" spans="2:12" ht="15.75" thickBot="1" x14ac:dyDescent="0.3"/>
    <row r="27" spans="2:12" ht="15.75" thickBot="1" x14ac:dyDescent="0.3">
      <c r="B27" s="1" t="s">
        <v>0</v>
      </c>
      <c r="C27" s="2" t="s">
        <v>1</v>
      </c>
      <c r="D27" s="30"/>
      <c r="E27" s="30"/>
      <c r="F27" s="30"/>
      <c r="G27" s="30"/>
      <c r="H27" s="30"/>
      <c r="I27" s="2" t="s">
        <v>5</v>
      </c>
      <c r="J27" s="2" t="s">
        <v>6</v>
      </c>
      <c r="K27" s="2" t="s">
        <v>7</v>
      </c>
      <c r="L27" s="31" t="s">
        <v>8</v>
      </c>
    </row>
    <row r="28" spans="2:12" x14ac:dyDescent="0.25">
      <c r="B28" s="32"/>
      <c r="C28" s="33" t="s">
        <v>39</v>
      </c>
      <c r="D28" s="34"/>
      <c r="E28" s="59">
        <f>+rendimiento!D6</f>
        <v>7</v>
      </c>
      <c r="F28" s="34"/>
      <c r="G28" s="34"/>
      <c r="H28" s="34"/>
      <c r="I28" s="35" t="s">
        <v>10</v>
      </c>
      <c r="J28" s="35">
        <v>1</v>
      </c>
      <c r="K28" s="36"/>
      <c r="L28" s="37">
        <f>+SUM(L29:L52)</f>
        <v>65009.739485714272</v>
      </c>
    </row>
    <row r="29" spans="2:12" x14ac:dyDescent="0.25">
      <c r="B29" s="38"/>
      <c r="C29" s="39" t="s">
        <v>40</v>
      </c>
      <c r="D29" s="40"/>
      <c r="E29" s="40"/>
      <c r="F29" s="40"/>
      <c r="G29" s="40"/>
      <c r="H29" s="40"/>
      <c r="I29" s="41"/>
      <c r="J29" s="42"/>
      <c r="K29" s="29"/>
      <c r="L29" s="43"/>
    </row>
    <row r="30" spans="2:12" x14ac:dyDescent="0.25">
      <c r="B30" s="44"/>
      <c r="C30" s="45" t="s">
        <v>12</v>
      </c>
      <c r="D30" s="40"/>
      <c r="E30" s="40"/>
      <c r="F30" s="40"/>
      <c r="G30" s="40"/>
      <c r="H30" s="40"/>
      <c r="I30" s="40"/>
      <c r="J30" s="46"/>
      <c r="K30" s="29"/>
      <c r="L30" s="47"/>
    </row>
    <row r="31" spans="2:12" x14ac:dyDescent="0.25">
      <c r="B31" s="44"/>
      <c r="C31" s="48" t="s">
        <v>13</v>
      </c>
      <c r="D31" s="40">
        <v>1</v>
      </c>
      <c r="E31" s="40">
        <f>+$E$28/D31</f>
        <v>7</v>
      </c>
      <c r="F31" s="40" t="s">
        <v>10</v>
      </c>
      <c r="G31" s="40" t="s">
        <v>14</v>
      </c>
      <c r="H31" s="40" t="s">
        <v>15</v>
      </c>
      <c r="I31" s="40" t="s">
        <v>15</v>
      </c>
      <c r="J31" s="46">
        <f>+D31/E31/D31</f>
        <v>0.14285714285714285</v>
      </c>
      <c r="K31" s="29">
        <f>+'Mat y mano obra'!C10</f>
        <v>8500</v>
      </c>
      <c r="L31" s="47">
        <f>+K31*J31</f>
        <v>1214.2857142857142</v>
      </c>
    </row>
    <row r="32" spans="2:12" x14ac:dyDescent="0.25">
      <c r="B32" s="44"/>
      <c r="C32" s="48" t="s">
        <v>16</v>
      </c>
      <c r="D32" s="40">
        <v>1</v>
      </c>
      <c r="E32" s="40">
        <f>+$E$28/D32</f>
        <v>7</v>
      </c>
      <c r="F32" s="40" t="s">
        <v>10</v>
      </c>
      <c r="G32" s="40" t="s">
        <v>14</v>
      </c>
      <c r="H32" s="40" t="s">
        <v>15</v>
      </c>
      <c r="I32" s="40" t="s">
        <v>15</v>
      </c>
      <c r="J32" s="46">
        <f>+D32/E32/D32</f>
        <v>0.14285714285714285</v>
      </c>
      <c r="K32" s="29">
        <f>+'Mat y mano obra'!C11</f>
        <v>12500</v>
      </c>
      <c r="L32" s="47">
        <f>+K32*J32</f>
        <v>1785.7142857142856</v>
      </c>
    </row>
    <row r="33" spans="2:13" x14ac:dyDescent="0.25">
      <c r="B33" s="44"/>
      <c r="C33" s="48" t="s">
        <v>17</v>
      </c>
      <c r="D33" s="40"/>
      <c r="E33" s="40"/>
      <c r="F33" s="40"/>
      <c r="G33" s="40"/>
      <c r="H33" s="40"/>
      <c r="I33" s="40" t="s">
        <v>18</v>
      </c>
      <c r="J33" s="46">
        <v>0.75</v>
      </c>
      <c r="K33" s="58">
        <f>+'Mat y mano obra'!C20</f>
        <v>900</v>
      </c>
      <c r="L33" s="47">
        <f t="shared" ref="L33:L40" si="3">+K33*J33</f>
        <v>675</v>
      </c>
    </row>
    <row r="34" spans="2:13" x14ac:dyDescent="0.25">
      <c r="B34" s="44"/>
      <c r="C34" s="48" t="s">
        <v>21</v>
      </c>
      <c r="D34" s="40"/>
      <c r="E34" s="40"/>
      <c r="F34" s="40"/>
      <c r="G34" s="40"/>
      <c r="H34" s="40"/>
      <c r="I34" s="40" t="s">
        <v>22</v>
      </c>
      <c r="J34" s="46">
        <v>9</v>
      </c>
      <c r="K34" s="58">
        <f>+'Mat y mano obra'!C23+6.25*'APU DT-18'!C13</f>
        <v>3055</v>
      </c>
      <c r="L34" s="47">
        <f t="shared" si="3"/>
        <v>27495</v>
      </c>
      <c r="M34" t="s">
        <v>58</v>
      </c>
    </row>
    <row r="35" spans="2:13" x14ac:dyDescent="0.25">
      <c r="B35" s="44"/>
      <c r="C35" s="48" t="s">
        <v>23</v>
      </c>
      <c r="D35" s="40"/>
      <c r="E35" s="40"/>
      <c r="F35" s="40"/>
      <c r="G35" s="40"/>
      <c r="H35" s="40"/>
      <c r="I35" s="40" t="s">
        <v>24</v>
      </c>
      <c r="J35" s="46">
        <v>5.6000000000000001E-2</v>
      </c>
      <c r="K35" s="29"/>
      <c r="L35" s="47">
        <f t="shared" si="3"/>
        <v>0</v>
      </c>
    </row>
    <row r="36" spans="2:13" x14ac:dyDescent="0.25">
      <c r="B36" s="44"/>
      <c r="C36" s="48" t="s">
        <v>19</v>
      </c>
      <c r="D36" s="40"/>
      <c r="E36" s="40"/>
      <c r="F36" s="40"/>
      <c r="G36" s="40"/>
      <c r="H36" s="40"/>
      <c r="I36" s="40" t="s">
        <v>10</v>
      </c>
      <c r="J36" s="46">
        <v>0.78700000000000003</v>
      </c>
      <c r="K36" s="369">
        <f>+'APU DT-18'!C13*'APU DT-18'!C14+'Mat y mano obra'!C21</f>
        <v>5552</v>
      </c>
      <c r="L36" s="47">
        <f t="shared" si="3"/>
        <v>4369.424</v>
      </c>
    </row>
    <row r="37" spans="2:13" x14ac:dyDescent="0.25">
      <c r="B37" s="44"/>
      <c r="C37" s="48" t="s">
        <v>20</v>
      </c>
      <c r="D37" s="40"/>
      <c r="E37" s="40"/>
      <c r="F37" s="40"/>
      <c r="G37" s="40"/>
      <c r="H37" s="40"/>
      <c r="I37" s="40" t="s">
        <v>10</v>
      </c>
      <c r="J37" s="46">
        <v>0.438</v>
      </c>
      <c r="K37" s="369">
        <f>'APU DT-18'!C13*'APU DT-18'!C14+'Mat y mano obra'!C22</f>
        <v>5500</v>
      </c>
      <c r="L37" s="47">
        <f t="shared" si="3"/>
        <v>2409</v>
      </c>
    </row>
    <row r="38" spans="2:13" x14ac:dyDescent="0.25">
      <c r="B38" s="44"/>
      <c r="C38" s="48" t="s">
        <v>41</v>
      </c>
      <c r="D38" s="40"/>
      <c r="E38" s="40"/>
      <c r="F38" s="40"/>
      <c r="G38" s="40"/>
      <c r="H38" s="40"/>
      <c r="I38" s="60" t="s">
        <v>26</v>
      </c>
      <c r="J38" s="61">
        <v>5</v>
      </c>
      <c r="K38" s="58" t="s">
        <v>27</v>
      </c>
      <c r="L38" s="62">
        <f>+(L37+L36+L34)*J38%</f>
        <v>1713.6712</v>
      </c>
    </row>
    <row r="39" spans="2:13" x14ac:dyDescent="0.25">
      <c r="B39" s="44"/>
      <c r="C39" s="48" t="s">
        <v>42</v>
      </c>
      <c r="D39" s="40">
        <v>1</v>
      </c>
      <c r="E39" s="40">
        <f>+$E$28/D39</f>
        <v>7</v>
      </c>
      <c r="F39" s="40" t="s">
        <v>10</v>
      </c>
      <c r="G39" s="40" t="s">
        <v>14</v>
      </c>
      <c r="H39" s="40" t="s">
        <v>15</v>
      </c>
      <c r="I39" s="40" t="s">
        <v>15</v>
      </c>
      <c r="J39" s="46">
        <f>+D39/E39/D39</f>
        <v>0.14285714285714285</v>
      </c>
      <c r="K39" s="29">
        <f>+'Mat y mano obra'!C12</f>
        <v>5356</v>
      </c>
      <c r="L39" s="47">
        <f t="shared" si="3"/>
        <v>765.14285714285711</v>
      </c>
    </row>
    <row r="40" spans="2:13" x14ac:dyDescent="0.25">
      <c r="B40" s="44"/>
      <c r="C40" s="48" t="s">
        <v>43</v>
      </c>
      <c r="D40" s="40"/>
      <c r="E40" s="40"/>
      <c r="F40" s="40"/>
      <c r="G40" s="40"/>
      <c r="H40" s="40"/>
      <c r="I40" s="40" t="s">
        <v>44</v>
      </c>
      <c r="J40" s="46">
        <v>0.7</v>
      </c>
      <c r="K40" s="58">
        <f>+'Mat y mano obra'!C24</f>
        <v>1756</v>
      </c>
      <c r="L40" s="47">
        <f t="shared" si="3"/>
        <v>1229.1999999999998</v>
      </c>
      <c r="M40" t="s">
        <v>58</v>
      </c>
    </row>
    <row r="41" spans="2:13" x14ac:dyDescent="0.25">
      <c r="B41" s="44"/>
      <c r="C41" s="39" t="s">
        <v>28</v>
      </c>
      <c r="D41" s="40"/>
      <c r="E41" s="40"/>
      <c r="F41" s="40"/>
      <c r="G41" s="40"/>
      <c r="H41" s="40"/>
      <c r="I41" s="40"/>
      <c r="J41" s="46"/>
      <c r="K41" s="29"/>
      <c r="L41" s="47"/>
    </row>
    <row r="42" spans="2:13" x14ac:dyDescent="0.25">
      <c r="B42" s="44"/>
      <c r="C42" s="39" t="s">
        <v>29</v>
      </c>
      <c r="D42" s="40"/>
      <c r="E42" s="40"/>
      <c r="F42" s="40"/>
      <c r="G42" s="40"/>
      <c r="H42" s="40"/>
      <c r="I42" s="40"/>
      <c r="J42" s="46"/>
      <c r="K42" s="29"/>
      <c r="L42" s="47"/>
    </row>
    <row r="43" spans="2:13" x14ac:dyDescent="0.25">
      <c r="B43" s="44"/>
      <c r="C43" s="48" t="s">
        <v>54</v>
      </c>
      <c r="D43" s="40">
        <v>1</v>
      </c>
      <c r="E43" s="40">
        <f>+$E$28/D43</f>
        <v>7</v>
      </c>
      <c r="F43" s="40" t="s">
        <v>10</v>
      </c>
      <c r="G43" s="40" t="s">
        <v>14</v>
      </c>
      <c r="H43" s="40" t="s">
        <v>35</v>
      </c>
      <c r="I43" s="40" t="s">
        <v>35</v>
      </c>
      <c r="J43" s="46">
        <f>+D43/E43/D43</f>
        <v>0.14285714285714285</v>
      </c>
      <c r="K43" s="290">
        <f>+'Mat y mano obra'!C5</f>
        <v>14806</v>
      </c>
      <c r="L43" s="47">
        <f>+K43*J43</f>
        <v>2115.1428571428569</v>
      </c>
    </row>
    <row r="44" spans="2:13" x14ac:dyDescent="0.25">
      <c r="B44" s="44"/>
      <c r="C44" s="48" t="s">
        <v>31</v>
      </c>
      <c r="D44" s="40">
        <v>2</v>
      </c>
      <c r="E44" s="40">
        <f>+$E$28/D44</f>
        <v>3.5</v>
      </c>
      <c r="F44" s="40" t="s">
        <v>10</v>
      </c>
      <c r="G44" s="40" t="s">
        <v>14</v>
      </c>
      <c r="H44" s="40" t="s">
        <v>35</v>
      </c>
      <c r="I44" s="40" t="s">
        <v>35</v>
      </c>
      <c r="J44" s="46">
        <f>+D44/E44/D44</f>
        <v>0.2857142857142857</v>
      </c>
      <c r="K44" s="290">
        <f>+'Mat y mano obra'!C7</f>
        <v>11846</v>
      </c>
      <c r="L44" s="47">
        <f>+K44*J44</f>
        <v>3384.5714285714284</v>
      </c>
    </row>
    <row r="45" spans="2:13" x14ac:dyDescent="0.25">
      <c r="B45" s="44"/>
      <c r="C45" s="45" t="s">
        <v>32</v>
      </c>
      <c r="D45" s="40"/>
      <c r="E45" s="40"/>
      <c r="F45" s="40"/>
      <c r="G45" s="40"/>
      <c r="H45" s="40"/>
      <c r="I45" s="40"/>
      <c r="J45" s="46"/>
      <c r="K45" s="290"/>
      <c r="L45" s="47"/>
    </row>
    <row r="46" spans="2:13" x14ac:dyDescent="0.25">
      <c r="B46" s="44"/>
      <c r="C46" s="39" t="s">
        <v>45</v>
      </c>
      <c r="D46" s="40"/>
      <c r="E46" s="40"/>
      <c r="F46" s="40"/>
      <c r="G46" s="40"/>
      <c r="H46" s="40"/>
      <c r="I46" s="40"/>
      <c r="J46" s="46"/>
      <c r="K46" s="290"/>
      <c r="L46" s="47"/>
    </row>
    <row r="47" spans="2:13" x14ac:dyDescent="0.25">
      <c r="B47" s="44"/>
      <c r="C47" s="48" t="s">
        <v>46</v>
      </c>
      <c r="D47" s="40">
        <v>1</v>
      </c>
      <c r="E47" s="40">
        <f>+$E$28/D47</f>
        <v>7</v>
      </c>
      <c r="F47" s="40" t="s">
        <v>10</v>
      </c>
      <c r="G47" s="40" t="s">
        <v>14</v>
      </c>
      <c r="H47" s="40" t="s">
        <v>35</v>
      </c>
      <c r="I47" s="40" t="s">
        <v>35</v>
      </c>
      <c r="J47" s="46">
        <f>+D47/E47/D47</f>
        <v>0.14285714285714285</v>
      </c>
      <c r="K47" s="290">
        <f>+'Mat y mano obra'!C5</f>
        <v>14806</v>
      </c>
      <c r="L47" s="47">
        <f t="shared" ref="L47:L49" si="4">+K47*J47</f>
        <v>2115.1428571428569</v>
      </c>
    </row>
    <row r="48" spans="2:13" x14ac:dyDescent="0.25">
      <c r="B48" s="44"/>
      <c r="C48" s="48" t="s">
        <v>34</v>
      </c>
      <c r="D48" s="40">
        <v>3</v>
      </c>
      <c r="E48" s="57">
        <f>+$E$28/D48</f>
        <v>2.3333333333333335</v>
      </c>
      <c r="F48" s="40" t="s">
        <v>10</v>
      </c>
      <c r="G48" s="40" t="s">
        <v>14</v>
      </c>
      <c r="H48" s="40" t="s">
        <v>35</v>
      </c>
      <c r="I48" s="40" t="s">
        <v>35</v>
      </c>
      <c r="J48" s="46">
        <f>+D48/E48/D48</f>
        <v>0.42857142857142855</v>
      </c>
      <c r="K48" s="290">
        <f>+'Mat y mano obra'!C8</f>
        <v>10187</v>
      </c>
      <c r="L48" s="47">
        <f t="shared" si="4"/>
        <v>4365.8571428571422</v>
      </c>
    </row>
    <row r="49" spans="2:13" x14ac:dyDescent="0.25">
      <c r="B49" s="44"/>
      <c r="C49" s="48" t="s">
        <v>47</v>
      </c>
      <c r="D49" s="40">
        <v>1</v>
      </c>
      <c r="E49" s="40">
        <f>+$E$28/D49</f>
        <v>7</v>
      </c>
      <c r="F49" s="40" t="s">
        <v>10</v>
      </c>
      <c r="G49" s="40" t="s">
        <v>14</v>
      </c>
      <c r="H49" s="40" t="s">
        <v>35</v>
      </c>
      <c r="I49" s="40" t="s">
        <v>35</v>
      </c>
      <c r="J49" s="46">
        <f>+D49/E49/D49</f>
        <v>0.14285714285714285</v>
      </c>
      <c r="K49" s="290">
        <f>+'Mat y mano obra'!C8</f>
        <v>10187</v>
      </c>
      <c r="L49" s="47">
        <f t="shared" si="4"/>
        <v>1455.2857142857142</v>
      </c>
    </row>
    <row r="50" spans="2:13" x14ac:dyDescent="0.25">
      <c r="B50" s="44"/>
      <c r="C50" s="48" t="s">
        <v>48</v>
      </c>
      <c r="D50" s="40"/>
      <c r="E50" s="40"/>
      <c r="F50" s="40"/>
      <c r="G50" s="40"/>
      <c r="H50" s="40"/>
      <c r="I50" s="40"/>
      <c r="J50" s="46"/>
      <c r="K50" s="290"/>
      <c r="L50" s="47"/>
    </row>
    <row r="51" spans="2:13" x14ac:dyDescent="0.25">
      <c r="B51" s="44"/>
      <c r="C51" s="48" t="s">
        <v>56</v>
      </c>
      <c r="D51" s="40">
        <v>0.5</v>
      </c>
      <c r="E51" s="40">
        <f>+$E$28/D51</f>
        <v>14</v>
      </c>
      <c r="F51" s="40" t="s">
        <v>10</v>
      </c>
      <c r="G51" s="40" t="s">
        <v>14</v>
      </c>
      <c r="H51" s="40" t="s">
        <v>15</v>
      </c>
      <c r="I51" s="40" t="s">
        <v>15</v>
      </c>
      <c r="J51" s="46">
        <f>+D51/E51/D51</f>
        <v>7.1428571428571425E-2</v>
      </c>
      <c r="K51" s="290">
        <f>+'Mat y mano obra'!C4</f>
        <v>20142</v>
      </c>
      <c r="L51" s="47">
        <f>+K51*J51</f>
        <v>1438.7142857142856</v>
      </c>
    </row>
    <row r="52" spans="2:13" ht="15.75" thickBot="1" x14ac:dyDescent="0.3">
      <c r="B52" s="50"/>
      <c r="C52" s="51" t="s">
        <v>49</v>
      </c>
      <c r="D52" s="52"/>
      <c r="E52" s="52"/>
      <c r="F52" s="52"/>
      <c r="G52" s="52"/>
      <c r="H52" s="52"/>
      <c r="I52" s="52" t="s">
        <v>26</v>
      </c>
      <c r="J52" s="53">
        <v>57</v>
      </c>
      <c r="K52" s="54" t="s">
        <v>27</v>
      </c>
      <c r="L52" s="55">
        <f>+SUM(L43:L51)*J52%</f>
        <v>8478.5871428571409</v>
      </c>
    </row>
    <row r="54" spans="2:13" ht="15.75" thickBot="1" x14ac:dyDescent="0.3"/>
    <row r="55" spans="2:13" ht="15.75" thickBot="1" x14ac:dyDescent="0.3">
      <c r="B55" s="1" t="s">
        <v>0</v>
      </c>
      <c r="C55" s="2" t="s">
        <v>1</v>
      </c>
      <c r="D55" s="3" t="s">
        <v>2</v>
      </c>
      <c r="E55" s="4" t="s">
        <v>3</v>
      </c>
      <c r="F55" s="618" t="s">
        <v>4</v>
      </c>
      <c r="G55" s="619"/>
      <c r="H55" s="620"/>
      <c r="I55" s="2" t="s">
        <v>5</v>
      </c>
      <c r="J55" s="2" t="s">
        <v>6</v>
      </c>
      <c r="K55" s="2" t="s">
        <v>7</v>
      </c>
      <c r="L55" s="31" t="s">
        <v>8</v>
      </c>
    </row>
    <row r="56" spans="2:13" x14ac:dyDescent="0.25">
      <c r="B56" s="32"/>
      <c r="C56" s="33" t="s">
        <v>50</v>
      </c>
      <c r="D56" s="34"/>
      <c r="E56" s="59">
        <f>+rendimiento!D7</f>
        <v>7</v>
      </c>
      <c r="F56" s="34"/>
      <c r="G56" s="34"/>
      <c r="H56" s="34"/>
      <c r="I56" s="35" t="s">
        <v>10</v>
      </c>
      <c r="J56" s="35">
        <v>1</v>
      </c>
      <c r="K56" s="36"/>
      <c r="L56" s="37">
        <f>+SUM(L57:L80)</f>
        <v>68136.257285714266</v>
      </c>
    </row>
    <row r="57" spans="2:13" x14ac:dyDescent="0.25">
      <c r="B57" s="38"/>
      <c r="C57" s="39" t="s">
        <v>51</v>
      </c>
      <c r="D57" s="40"/>
      <c r="E57" s="40"/>
      <c r="F57" s="40"/>
      <c r="G57" s="40"/>
      <c r="H57" s="40"/>
      <c r="I57" s="41"/>
      <c r="J57" s="41"/>
      <c r="K57" s="29"/>
      <c r="L57" s="43"/>
    </row>
    <row r="58" spans="2:13" x14ac:dyDescent="0.25">
      <c r="B58" s="44"/>
      <c r="C58" s="45" t="s">
        <v>12</v>
      </c>
      <c r="D58" s="40"/>
      <c r="E58" s="40"/>
      <c r="F58" s="40"/>
      <c r="G58" s="40"/>
      <c r="H58" s="40"/>
      <c r="I58" s="40"/>
      <c r="J58" s="40"/>
      <c r="K58" s="29"/>
      <c r="L58" s="47"/>
    </row>
    <row r="59" spans="2:13" x14ac:dyDescent="0.25">
      <c r="B59" s="44"/>
      <c r="C59" s="48" t="s">
        <v>13</v>
      </c>
      <c r="D59" s="40">
        <v>1</v>
      </c>
      <c r="E59" s="40">
        <f>+$E$56/D59</f>
        <v>7</v>
      </c>
      <c r="F59" s="40" t="s">
        <v>10</v>
      </c>
      <c r="G59" s="40" t="s">
        <v>14</v>
      </c>
      <c r="H59" s="40" t="s">
        <v>15</v>
      </c>
      <c r="I59" s="40" t="s">
        <v>15</v>
      </c>
      <c r="J59" s="56">
        <f t="shared" ref="J59:J60" si="5">+D59/E59/D59</f>
        <v>0.14285714285714285</v>
      </c>
      <c r="K59" s="29">
        <f>+'Mat y mano obra'!C10</f>
        <v>8500</v>
      </c>
      <c r="L59" s="47">
        <f>+K59*J59</f>
        <v>1214.2857142857142</v>
      </c>
    </row>
    <row r="60" spans="2:13" x14ac:dyDescent="0.25">
      <c r="B60" s="44"/>
      <c r="C60" s="48" t="s">
        <v>16</v>
      </c>
      <c r="D60" s="40">
        <v>1</v>
      </c>
      <c r="E60" s="40">
        <f>+$E$56/D60</f>
        <v>7</v>
      </c>
      <c r="F60" s="40" t="s">
        <v>10</v>
      </c>
      <c r="G60" s="40" t="s">
        <v>14</v>
      </c>
      <c r="H60" s="40" t="s">
        <v>15</v>
      </c>
      <c r="I60" s="40" t="s">
        <v>15</v>
      </c>
      <c r="J60" s="56">
        <f t="shared" si="5"/>
        <v>0.14285714285714285</v>
      </c>
      <c r="K60" s="29">
        <f>+'Mat y mano obra'!C11</f>
        <v>12500</v>
      </c>
      <c r="L60" s="47">
        <f>+K60*J60</f>
        <v>1785.7142857142856</v>
      </c>
    </row>
    <row r="61" spans="2:13" x14ac:dyDescent="0.25">
      <c r="B61" s="44"/>
      <c r="C61" s="48" t="s">
        <v>17</v>
      </c>
      <c r="D61" s="40"/>
      <c r="E61" s="40"/>
      <c r="F61" s="40"/>
      <c r="G61" s="40"/>
      <c r="H61" s="40"/>
      <c r="I61" s="40" t="s">
        <v>18</v>
      </c>
      <c r="J61" s="56">
        <v>0.75</v>
      </c>
      <c r="K61" s="58">
        <f>+'Mat y mano obra'!C20</f>
        <v>900</v>
      </c>
      <c r="L61" s="47">
        <f t="shared" ref="L61:L65" si="6">+K61*J61</f>
        <v>675</v>
      </c>
    </row>
    <row r="62" spans="2:13" x14ac:dyDescent="0.25">
      <c r="B62" s="44"/>
      <c r="C62" s="48" t="s">
        <v>52</v>
      </c>
      <c r="D62" s="40"/>
      <c r="E62" s="40"/>
      <c r="F62" s="40"/>
      <c r="G62" s="40"/>
      <c r="H62" s="40"/>
      <c r="I62" s="40" t="s">
        <v>22</v>
      </c>
      <c r="J62" s="56">
        <v>10</v>
      </c>
      <c r="K62" s="58">
        <f>+'Mat y mano obra'!C23+6.25*'APU DT-18'!C13</f>
        <v>3055</v>
      </c>
      <c r="L62" s="47">
        <f t="shared" si="6"/>
        <v>30550</v>
      </c>
      <c r="M62" t="s">
        <v>58</v>
      </c>
    </row>
    <row r="63" spans="2:13" x14ac:dyDescent="0.25">
      <c r="B63" s="44"/>
      <c r="C63" s="48" t="s">
        <v>23</v>
      </c>
      <c r="D63" s="40"/>
      <c r="E63" s="40"/>
      <c r="F63" s="40"/>
      <c r="G63" s="40"/>
      <c r="H63" s="40"/>
      <c r="I63" s="40" t="s">
        <v>24</v>
      </c>
      <c r="J63" s="56">
        <v>6.25E-2</v>
      </c>
      <c r="K63" s="29"/>
      <c r="L63" s="47">
        <f t="shared" si="6"/>
        <v>0</v>
      </c>
    </row>
    <row r="64" spans="2:13" x14ac:dyDescent="0.25">
      <c r="B64" s="44"/>
      <c r="C64" s="48" t="s">
        <v>19</v>
      </c>
      <c r="D64" s="40"/>
      <c r="E64" s="57"/>
      <c r="F64" s="40"/>
      <c r="G64" s="40"/>
      <c r="H64" s="40"/>
      <c r="I64" s="40" t="s">
        <v>10</v>
      </c>
      <c r="J64" s="56">
        <v>0.78</v>
      </c>
      <c r="K64" s="369">
        <f>'APU DT-18'!C13*'APU DT-18'!C14+'Mat y mano obra'!C21</f>
        <v>5552</v>
      </c>
      <c r="L64" s="47">
        <f t="shared" si="6"/>
        <v>4330.5600000000004</v>
      </c>
    </row>
    <row r="65" spans="2:13" x14ac:dyDescent="0.25">
      <c r="B65" s="44"/>
      <c r="C65" s="48" t="s">
        <v>20</v>
      </c>
      <c r="D65" s="40"/>
      <c r="E65" s="57"/>
      <c r="F65" s="40"/>
      <c r="G65" s="40"/>
      <c r="H65" s="40"/>
      <c r="I65" s="40" t="s">
        <v>10</v>
      </c>
      <c r="J65" s="56">
        <v>0.43099999999999999</v>
      </c>
      <c r="K65" s="369">
        <f>'APU DT-18'!C13*'APU DT-18'!C14+'Mat y mano obra'!C22</f>
        <v>5500</v>
      </c>
      <c r="L65" s="47">
        <f t="shared" si="6"/>
        <v>2370.5</v>
      </c>
    </row>
    <row r="66" spans="2:13" x14ac:dyDescent="0.25">
      <c r="B66" s="44"/>
      <c r="C66" s="48" t="s">
        <v>25</v>
      </c>
      <c r="D66" s="40"/>
      <c r="E66" s="57"/>
      <c r="F66" s="40"/>
      <c r="G66" s="40"/>
      <c r="H66" s="40"/>
      <c r="I66" s="40" t="s">
        <v>26</v>
      </c>
      <c r="J66" s="49">
        <v>5</v>
      </c>
      <c r="K66" s="29" t="s">
        <v>27</v>
      </c>
      <c r="L66" s="47">
        <f>+(L65+L64+L62)*J66%</f>
        <v>1862.5529999999999</v>
      </c>
    </row>
    <row r="67" spans="2:13" x14ac:dyDescent="0.25">
      <c r="B67" s="44"/>
      <c r="C67" s="48" t="s">
        <v>42</v>
      </c>
      <c r="D67" s="40">
        <v>1</v>
      </c>
      <c r="E67" s="57">
        <f>+$E$56/D67</f>
        <v>7</v>
      </c>
      <c r="F67" s="40" t="s">
        <v>10</v>
      </c>
      <c r="G67" s="40" t="s">
        <v>14</v>
      </c>
      <c r="H67" s="40" t="s">
        <v>15</v>
      </c>
      <c r="I67" s="40" t="s">
        <v>15</v>
      </c>
      <c r="J67" s="56">
        <f>+D67/E67/D67</f>
        <v>0.14285714285714285</v>
      </c>
      <c r="K67" s="29">
        <f>+'Mat y mano obra'!C12</f>
        <v>5356</v>
      </c>
      <c r="L67" s="47">
        <f t="shared" ref="L67:L68" si="7">+K67*J67</f>
        <v>765.14285714285711</v>
      </c>
    </row>
    <row r="68" spans="2:13" x14ac:dyDescent="0.25">
      <c r="B68" s="44"/>
      <c r="C68" s="48" t="s">
        <v>43</v>
      </c>
      <c r="D68" s="40"/>
      <c r="E68" s="57"/>
      <c r="F68" s="40"/>
      <c r="G68" s="40"/>
      <c r="H68" s="40"/>
      <c r="I68" s="40" t="s">
        <v>44</v>
      </c>
      <c r="J68" s="56">
        <v>0.7</v>
      </c>
      <c r="K68" s="58">
        <f>+'Mat y mano obra'!C24</f>
        <v>1756</v>
      </c>
      <c r="L68" s="47">
        <f t="shared" si="7"/>
        <v>1229.1999999999998</v>
      </c>
      <c r="M68" t="s">
        <v>58</v>
      </c>
    </row>
    <row r="69" spans="2:13" x14ac:dyDescent="0.25">
      <c r="B69" s="44"/>
      <c r="C69" s="39" t="s">
        <v>28</v>
      </c>
      <c r="D69" s="40"/>
      <c r="E69" s="57"/>
      <c r="F69" s="40"/>
      <c r="G69" s="40"/>
      <c r="H69" s="40"/>
      <c r="I69" s="40"/>
      <c r="J69" s="56"/>
      <c r="K69" s="29"/>
      <c r="L69" s="47"/>
    </row>
    <row r="70" spans="2:13" x14ac:dyDescent="0.25">
      <c r="B70" s="44"/>
      <c r="C70" s="39" t="s">
        <v>29</v>
      </c>
      <c r="D70" s="40"/>
      <c r="E70" s="57"/>
      <c r="F70" s="40"/>
      <c r="G70" s="40"/>
      <c r="H70" s="40"/>
      <c r="I70" s="40"/>
      <c r="J70" s="56"/>
      <c r="K70" s="29"/>
      <c r="L70" s="47"/>
    </row>
    <row r="71" spans="2:13" x14ac:dyDescent="0.25">
      <c r="B71" s="44"/>
      <c r="C71" s="48" t="s">
        <v>46</v>
      </c>
      <c r="D71" s="40">
        <v>1</v>
      </c>
      <c r="E71" s="57">
        <f>+$E$56/D71</f>
        <v>7</v>
      </c>
      <c r="F71" s="40" t="s">
        <v>10</v>
      </c>
      <c r="G71" s="40" t="s">
        <v>14</v>
      </c>
      <c r="H71" s="40" t="s">
        <v>35</v>
      </c>
      <c r="I71" s="40" t="s">
        <v>35</v>
      </c>
      <c r="J71" s="46">
        <f>+D71/E71/D71</f>
        <v>0.14285714285714285</v>
      </c>
      <c r="K71" s="290">
        <f>+'Mat y mano obra'!C5</f>
        <v>14806</v>
      </c>
      <c r="L71" s="47">
        <f>+K71*J71</f>
        <v>2115.1428571428569</v>
      </c>
    </row>
    <row r="72" spans="2:13" x14ac:dyDescent="0.25">
      <c r="B72" s="44"/>
      <c r="C72" s="48" t="s">
        <v>31</v>
      </c>
      <c r="D72" s="40">
        <v>2</v>
      </c>
      <c r="E72" s="57">
        <f>+$E$56/D72</f>
        <v>3.5</v>
      </c>
      <c r="F72" s="40" t="s">
        <v>10</v>
      </c>
      <c r="G72" s="40" t="s">
        <v>14</v>
      </c>
      <c r="H72" s="40" t="s">
        <v>35</v>
      </c>
      <c r="I72" s="40" t="s">
        <v>35</v>
      </c>
      <c r="J72" s="46">
        <f>+D72/E72/D72</f>
        <v>0.2857142857142857</v>
      </c>
      <c r="K72" s="290">
        <f>+'Mat y mano obra'!C7</f>
        <v>11846</v>
      </c>
      <c r="L72" s="47">
        <f t="shared" ref="L72:L79" si="8">+K72*J72</f>
        <v>3384.5714285714284</v>
      </c>
    </row>
    <row r="73" spans="2:13" x14ac:dyDescent="0.25">
      <c r="B73" s="44"/>
      <c r="C73" s="45" t="s">
        <v>32</v>
      </c>
      <c r="D73" s="40"/>
      <c r="E73" s="57"/>
      <c r="F73" s="40"/>
      <c r="G73" s="40"/>
      <c r="H73" s="40"/>
      <c r="I73" s="40"/>
      <c r="J73" s="46"/>
      <c r="K73" s="290"/>
      <c r="L73" s="47">
        <f t="shared" si="8"/>
        <v>0</v>
      </c>
    </row>
    <row r="74" spans="2:13" x14ac:dyDescent="0.25">
      <c r="B74" s="44"/>
      <c r="C74" s="39" t="s">
        <v>45</v>
      </c>
      <c r="D74" s="40"/>
      <c r="E74" s="57"/>
      <c r="F74" s="40"/>
      <c r="G74" s="40"/>
      <c r="H74" s="40"/>
      <c r="I74" s="40"/>
      <c r="J74" s="46"/>
      <c r="K74" s="290"/>
      <c r="L74" s="47">
        <f t="shared" si="8"/>
        <v>0</v>
      </c>
    </row>
    <row r="75" spans="2:13" x14ac:dyDescent="0.25">
      <c r="B75" s="44"/>
      <c r="C75" s="48" t="s">
        <v>46</v>
      </c>
      <c r="D75" s="40">
        <v>1</v>
      </c>
      <c r="E75" s="57">
        <f t="shared" ref="E75:E77" si="9">+$E$56/D75</f>
        <v>7</v>
      </c>
      <c r="F75" s="40" t="s">
        <v>10</v>
      </c>
      <c r="G75" s="40" t="s">
        <v>14</v>
      </c>
      <c r="H75" s="40" t="s">
        <v>35</v>
      </c>
      <c r="I75" s="40" t="s">
        <v>35</v>
      </c>
      <c r="J75" s="46">
        <f t="shared" ref="J75:J77" si="10">+D75/E75/D75</f>
        <v>0.14285714285714285</v>
      </c>
      <c r="K75" s="290">
        <f>+'Mat y mano obra'!C5</f>
        <v>14806</v>
      </c>
      <c r="L75" s="47">
        <f t="shared" si="8"/>
        <v>2115.1428571428569</v>
      </c>
    </row>
    <row r="76" spans="2:13" x14ac:dyDescent="0.25">
      <c r="B76" s="44"/>
      <c r="C76" s="48" t="s">
        <v>53</v>
      </c>
      <c r="D76" s="40">
        <v>3</v>
      </c>
      <c r="E76" s="57">
        <f t="shared" si="9"/>
        <v>2.3333333333333335</v>
      </c>
      <c r="F76" s="40" t="s">
        <v>10</v>
      </c>
      <c r="G76" s="40" t="s">
        <v>14</v>
      </c>
      <c r="H76" s="40" t="s">
        <v>35</v>
      </c>
      <c r="I76" s="40" t="s">
        <v>35</v>
      </c>
      <c r="J76" s="46">
        <f t="shared" si="10"/>
        <v>0.42857142857142855</v>
      </c>
      <c r="K76" s="290">
        <f>+'Mat y mano obra'!C8</f>
        <v>10187</v>
      </c>
      <c r="L76" s="47">
        <f t="shared" si="8"/>
        <v>4365.8571428571422</v>
      </c>
    </row>
    <row r="77" spans="2:13" x14ac:dyDescent="0.25">
      <c r="B77" s="44"/>
      <c r="C77" s="48" t="s">
        <v>47</v>
      </c>
      <c r="D77" s="40">
        <v>1</v>
      </c>
      <c r="E77" s="57">
        <f t="shared" si="9"/>
        <v>7</v>
      </c>
      <c r="F77" s="40" t="s">
        <v>10</v>
      </c>
      <c r="G77" s="40" t="s">
        <v>14</v>
      </c>
      <c r="H77" s="40" t="s">
        <v>35</v>
      </c>
      <c r="I77" s="40" t="s">
        <v>35</v>
      </c>
      <c r="J77" s="46">
        <f t="shared" si="10"/>
        <v>0.14285714285714285</v>
      </c>
      <c r="K77" s="290">
        <f>+'Mat y mano obra'!C8</f>
        <v>10187</v>
      </c>
      <c r="L77" s="47">
        <f t="shared" si="8"/>
        <v>1455.2857142857142</v>
      </c>
    </row>
    <row r="78" spans="2:13" x14ac:dyDescent="0.25">
      <c r="B78" s="44"/>
      <c r="C78" s="48" t="s">
        <v>48</v>
      </c>
      <c r="D78" s="40"/>
      <c r="E78" s="57"/>
      <c r="F78" s="40"/>
      <c r="G78" s="40"/>
      <c r="H78" s="40"/>
      <c r="I78" s="40"/>
      <c r="J78" s="46"/>
      <c r="K78" s="290"/>
      <c r="L78" s="47">
        <f t="shared" si="8"/>
        <v>0</v>
      </c>
    </row>
    <row r="79" spans="2:13" x14ac:dyDescent="0.25">
      <c r="B79" s="44"/>
      <c r="C79" s="48" t="s">
        <v>56</v>
      </c>
      <c r="D79" s="40">
        <v>0.5</v>
      </c>
      <c r="E79" s="57">
        <f>+$E$56/D79</f>
        <v>14</v>
      </c>
      <c r="F79" s="40" t="s">
        <v>10</v>
      </c>
      <c r="G79" s="40" t="s">
        <v>14</v>
      </c>
      <c r="H79" s="40" t="s">
        <v>15</v>
      </c>
      <c r="I79" s="40" t="s">
        <v>15</v>
      </c>
      <c r="J79" s="46">
        <f>+D79/E79/D79</f>
        <v>7.1428571428571425E-2</v>
      </c>
      <c r="K79" s="290">
        <f>+'Mat y mano obra'!C4</f>
        <v>20142</v>
      </c>
      <c r="L79" s="47">
        <f t="shared" si="8"/>
        <v>1438.7142857142856</v>
      </c>
    </row>
    <row r="80" spans="2:13" ht="15.75" thickBot="1" x14ac:dyDescent="0.3">
      <c r="B80" s="50"/>
      <c r="C80" s="51" t="s">
        <v>49</v>
      </c>
      <c r="D80" s="52"/>
      <c r="E80" s="52"/>
      <c r="F80" s="52"/>
      <c r="G80" s="52"/>
      <c r="H80" s="52"/>
      <c r="I80" s="52" t="s">
        <v>26</v>
      </c>
      <c r="J80" s="53">
        <v>57</v>
      </c>
      <c r="K80" s="54" t="s">
        <v>27</v>
      </c>
      <c r="L80" s="55">
        <f>+SUM(L71:L79)*J80%</f>
        <v>8478.5871428571409</v>
      </c>
    </row>
    <row r="82" spans="2:12" ht="15.75" thickBot="1" x14ac:dyDescent="0.3"/>
    <row r="83" spans="2:12" ht="15.75" thickBot="1" x14ac:dyDescent="0.3">
      <c r="B83" s="1" t="s">
        <v>0</v>
      </c>
      <c r="C83" s="2" t="s">
        <v>1</v>
      </c>
      <c r="D83" s="3" t="s">
        <v>2</v>
      </c>
      <c r="E83" s="4" t="s">
        <v>3</v>
      </c>
      <c r="F83" s="618" t="s">
        <v>4</v>
      </c>
      <c r="G83" s="619"/>
      <c r="H83" s="620"/>
      <c r="I83" s="2" t="s">
        <v>5</v>
      </c>
      <c r="J83" s="2" t="s">
        <v>6</v>
      </c>
      <c r="K83" s="2" t="s">
        <v>7</v>
      </c>
      <c r="L83" s="31" t="s">
        <v>8</v>
      </c>
    </row>
    <row r="84" spans="2:12" x14ac:dyDescent="0.25">
      <c r="B84" s="32"/>
      <c r="C84" s="33" t="s">
        <v>201</v>
      </c>
      <c r="D84" s="34"/>
      <c r="E84" s="59">
        <f>+rendimiento!D8</f>
        <v>7</v>
      </c>
      <c r="F84" s="34"/>
      <c r="G84" s="34"/>
      <c r="H84" s="34"/>
      <c r="I84" s="35" t="s">
        <v>10</v>
      </c>
      <c r="J84" s="35">
        <v>1</v>
      </c>
      <c r="K84" s="36"/>
      <c r="L84" s="37">
        <f>+SUM(L85:L108)</f>
        <v>71279.93628571427</v>
      </c>
    </row>
    <row r="85" spans="2:12" x14ac:dyDescent="0.25">
      <c r="B85" s="38"/>
      <c r="C85" s="39" t="s">
        <v>51</v>
      </c>
      <c r="D85" s="40"/>
      <c r="E85" s="40"/>
      <c r="F85" s="40"/>
      <c r="G85" s="40"/>
      <c r="H85" s="40"/>
      <c r="I85" s="41"/>
      <c r="J85" s="41"/>
      <c r="K85" s="29"/>
      <c r="L85" s="43"/>
    </row>
    <row r="86" spans="2:12" x14ac:dyDescent="0.25">
      <c r="B86" s="44"/>
      <c r="C86" s="45" t="s">
        <v>12</v>
      </c>
      <c r="D86" s="40"/>
      <c r="E86" s="40"/>
      <c r="F86" s="40"/>
      <c r="G86" s="40"/>
      <c r="H86" s="40"/>
      <c r="I86" s="40"/>
      <c r="J86" s="40"/>
      <c r="K86" s="29"/>
      <c r="L86" s="47"/>
    </row>
    <row r="87" spans="2:12" x14ac:dyDescent="0.25">
      <c r="B87" s="44"/>
      <c r="C87" s="48" t="s">
        <v>13</v>
      </c>
      <c r="D87" s="40">
        <v>1</v>
      </c>
      <c r="E87" s="40">
        <f>+E84</f>
        <v>7</v>
      </c>
      <c r="F87" s="40" t="s">
        <v>10</v>
      </c>
      <c r="G87" s="40" t="s">
        <v>14</v>
      </c>
      <c r="H87" s="40" t="s">
        <v>15</v>
      </c>
      <c r="I87" s="40" t="s">
        <v>15</v>
      </c>
      <c r="J87" s="56">
        <f t="shared" ref="J87:J88" si="11">+D87/E87/D87</f>
        <v>0.14285714285714285</v>
      </c>
      <c r="K87" s="29">
        <f>+'Mat y mano obra'!C10</f>
        <v>8500</v>
      </c>
      <c r="L87" s="47">
        <f>+K87*J87</f>
        <v>1214.2857142857142</v>
      </c>
    </row>
    <row r="88" spans="2:12" x14ac:dyDescent="0.25">
      <c r="B88" s="44"/>
      <c r="C88" s="48" t="s">
        <v>16</v>
      </c>
      <c r="D88" s="40">
        <v>1</v>
      </c>
      <c r="E88" s="40">
        <f>+E84</f>
        <v>7</v>
      </c>
      <c r="F88" s="40" t="s">
        <v>10</v>
      </c>
      <c r="G88" s="40" t="s">
        <v>14</v>
      </c>
      <c r="H88" s="40" t="s">
        <v>15</v>
      </c>
      <c r="I88" s="40" t="s">
        <v>15</v>
      </c>
      <c r="J88" s="56">
        <f t="shared" si="11"/>
        <v>0.14285714285714285</v>
      </c>
      <c r="K88" s="29">
        <f>+'Mat y mano obra'!C11</f>
        <v>12500</v>
      </c>
      <c r="L88" s="47">
        <f>+K88*J88</f>
        <v>1785.7142857142856</v>
      </c>
    </row>
    <row r="89" spans="2:12" x14ac:dyDescent="0.25">
      <c r="B89" s="44"/>
      <c r="C89" s="48" t="s">
        <v>17</v>
      </c>
      <c r="D89" s="40"/>
      <c r="E89" s="40"/>
      <c r="F89" s="40"/>
      <c r="G89" s="40"/>
      <c r="H89" s="40"/>
      <c r="I89" s="40" t="s">
        <v>18</v>
      </c>
      <c r="J89" s="56">
        <v>0.75</v>
      </c>
      <c r="K89" s="58">
        <f>+'Mat y mano obra'!C20</f>
        <v>900</v>
      </c>
      <c r="L89" s="47">
        <f t="shared" ref="L89:L93" si="12">+K89*J89</f>
        <v>675</v>
      </c>
    </row>
    <row r="90" spans="2:12" x14ac:dyDescent="0.25">
      <c r="B90" s="44"/>
      <c r="C90" s="48" t="s">
        <v>52</v>
      </c>
      <c r="D90" s="40"/>
      <c r="E90" s="40"/>
      <c r="F90" s="40"/>
      <c r="G90" s="40"/>
      <c r="H90" s="40"/>
      <c r="I90" s="40" t="s">
        <v>22</v>
      </c>
      <c r="J90" s="332">
        <v>11</v>
      </c>
      <c r="K90" s="58">
        <f>+'Mat y mano obra'!C23+6.25*'APU DT-18'!C13</f>
        <v>3055</v>
      </c>
      <c r="L90" s="47">
        <f t="shared" si="12"/>
        <v>33605</v>
      </c>
    </row>
    <row r="91" spans="2:12" x14ac:dyDescent="0.25">
      <c r="B91" s="44"/>
      <c r="C91" s="48" t="s">
        <v>23</v>
      </c>
      <c r="D91" s="40"/>
      <c r="E91" s="40"/>
      <c r="F91" s="40"/>
      <c r="G91" s="40"/>
      <c r="H91" s="40"/>
      <c r="I91" s="40" t="s">
        <v>24</v>
      </c>
      <c r="J91" s="56">
        <v>6.3E-2</v>
      </c>
      <c r="K91" s="29"/>
      <c r="L91" s="47">
        <f t="shared" si="12"/>
        <v>0</v>
      </c>
    </row>
    <row r="92" spans="2:12" x14ac:dyDescent="0.25">
      <c r="B92" s="44"/>
      <c r="C92" s="48" t="s">
        <v>19</v>
      </c>
      <c r="D92" s="40"/>
      <c r="E92" s="57"/>
      <c r="F92" s="40"/>
      <c r="G92" s="40"/>
      <c r="H92" s="40"/>
      <c r="I92" s="40" t="s">
        <v>10</v>
      </c>
      <c r="J92" s="332">
        <v>0.77</v>
      </c>
      <c r="K92" s="369">
        <f>'APU DT-18'!C13*'APU DT-18'!C14+'Mat y mano obra'!C21</f>
        <v>5552</v>
      </c>
      <c r="L92" s="47">
        <f t="shared" si="12"/>
        <v>4275.04</v>
      </c>
    </row>
    <row r="93" spans="2:12" x14ac:dyDescent="0.25">
      <c r="B93" s="44"/>
      <c r="C93" s="48" t="s">
        <v>20</v>
      </c>
      <c r="D93" s="40"/>
      <c r="E93" s="57"/>
      <c r="F93" s="40"/>
      <c r="G93" s="40"/>
      <c r="H93" s="40"/>
      <c r="I93" s="40" t="s">
        <v>10</v>
      </c>
      <c r="J93" s="332">
        <v>0.43</v>
      </c>
      <c r="K93" s="369">
        <f>'APU DT-18'!C13*'APU DT-18'!C14+'Mat y mano obra'!C22</f>
        <v>5500</v>
      </c>
      <c r="L93" s="47">
        <f t="shared" si="12"/>
        <v>2365</v>
      </c>
    </row>
    <row r="94" spans="2:12" x14ac:dyDescent="0.25">
      <c r="B94" s="44"/>
      <c r="C94" s="48" t="s">
        <v>25</v>
      </c>
      <c r="D94" s="40"/>
      <c r="E94" s="57"/>
      <c r="F94" s="40"/>
      <c r="G94" s="40"/>
      <c r="H94" s="40"/>
      <c r="I94" s="40" t="s">
        <v>26</v>
      </c>
      <c r="J94" s="49">
        <v>5</v>
      </c>
      <c r="K94" s="29" t="s">
        <v>27</v>
      </c>
      <c r="L94" s="47">
        <f>+(L93+L92+L90)*J94%</f>
        <v>2012.2520000000002</v>
      </c>
    </row>
    <row r="95" spans="2:12" x14ac:dyDescent="0.25">
      <c r="B95" s="44"/>
      <c r="C95" s="48" t="s">
        <v>42</v>
      </c>
      <c r="D95" s="40">
        <v>1</v>
      </c>
      <c r="E95" s="57">
        <f>+E84</f>
        <v>7</v>
      </c>
      <c r="F95" s="40" t="s">
        <v>10</v>
      </c>
      <c r="G95" s="40" t="s">
        <v>14</v>
      </c>
      <c r="H95" s="40" t="s">
        <v>15</v>
      </c>
      <c r="I95" s="40" t="s">
        <v>15</v>
      </c>
      <c r="J95" s="56">
        <f>+D95/E95/D95</f>
        <v>0.14285714285714285</v>
      </c>
      <c r="K95" s="29">
        <f>+'Mat y mano obra'!C12</f>
        <v>5356</v>
      </c>
      <c r="L95" s="47">
        <f t="shared" ref="L95:L96" si="13">+K95*J95</f>
        <v>765.14285714285711</v>
      </c>
    </row>
    <row r="96" spans="2:12" x14ac:dyDescent="0.25">
      <c r="B96" s="44"/>
      <c r="C96" s="48" t="s">
        <v>43</v>
      </c>
      <c r="D96" s="40"/>
      <c r="E96" s="57"/>
      <c r="F96" s="40"/>
      <c r="G96" s="40"/>
      <c r="H96" s="40"/>
      <c r="I96" s="40" t="s">
        <v>44</v>
      </c>
      <c r="J96" s="56">
        <v>0.7</v>
      </c>
      <c r="K96" s="58">
        <f>+'Mat y mano obra'!C24</f>
        <v>1756</v>
      </c>
      <c r="L96" s="47">
        <f t="shared" si="13"/>
        <v>1229.1999999999998</v>
      </c>
    </row>
    <row r="97" spans="2:12" x14ac:dyDescent="0.25">
      <c r="B97" s="44"/>
      <c r="C97" s="39" t="s">
        <v>28</v>
      </c>
      <c r="D97" s="40"/>
      <c r="E97" s="57"/>
      <c r="F97" s="40"/>
      <c r="G97" s="40"/>
      <c r="H97" s="40"/>
      <c r="I97" s="40"/>
      <c r="J97" s="56"/>
      <c r="K97" s="29"/>
      <c r="L97" s="47"/>
    </row>
    <row r="98" spans="2:12" x14ac:dyDescent="0.25">
      <c r="B98" s="44"/>
      <c r="C98" s="39" t="s">
        <v>29</v>
      </c>
      <c r="D98" s="40"/>
      <c r="E98" s="57"/>
      <c r="F98" s="40"/>
      <c r="G98" s="40"/>
      <c r="H98" s="40"/>
      <c r="I98" s="40"/>
      <c r="J98" s="56"/>
      <c r="K98" s="29"/>
      <c r="L98" s="47"/>
    </row>
    <row r="99" spans="2:12" x14ac:dyDescent="0.25">
      <c r="B99" s="44"/>
      <c r="C99" s="48" t="s">
        <v>46</v>
      </c>
      <c r="D99" s="40">
        <v>1</v>
      </c>
      <c r="E99" s="57">
        <f>+E84</f>
        <v>7</v>
      </c>
      <c r="F99" s="40" t="s">
        <v>10</v>
      </c>
      <c r="G99" s="40" t="s">
        <v>14</v>
      </c>
      <c r="H99" s="40" t="s">
        <v>35</v>
      </c>
      <c r="I99" s="40" t="s">
        <v>35</v>
      </c>
      <c r="J99" s="46">
        <f>+D99/E99/D99</f>
        <v>0.14285714285714285</v>
      </c>
      <c r="K99" s="290">
        <f>+'Mat y mano obra'!C5</f>
        <v>14806</v>
      </c>
      <c r="L99" s="47">
        <f>+K99*J99</f>
        <v>2115.1428571428569</v>
      </c>
    </row>
    <row r="100" spans="2:12" x14ac:dyDescent="0.25">
      <c r="B100" s="44"/>
      <c r="C100" s="48" t="s">
        <v>31</v>
      </c>
      <c r="D100" s="40">
        <v>2</v>
      </c>
      <c r="E100" s="57">
        <f>+E84/D100</f>
        <v>3.5</v>
      </c>
      <c r="F100" s="40" t="s">
        <v>10</v>
      </c>
      <c r="G100" s="40" t="s">
        <v>14</v>
      </c>
      <c r="H100" s="40" t="s">
        <v>35</v>
      </c>
      <c r="I100" s="40" t="s">
        <v>35</v>
      </c>
      <c r="J100" s="46">
        <f>+D100/E100/D100</f>
        <v>0.2857142857142857</v>
      </c>
      <c r="K100" s="290">
        <f>+'Mat y mano obra'!C7</f>
        <v>11846</v>
      </c>
      <c r="L100" s="47">
        <f t="shared" ref="L100:L107" si="14">+K100*J100</f>
        <v>3384.5714285714284</v>
      </c>
    </row>
    <row r="101" spans="2:12" x14ac:dyDescent="0.25">
      <c r="B101" s="44"/>
      <c r="C101" s="45" t="s">
        <v>32</v>
      </c>
      <c r="D101" s="40"/>
      <c r="E101" s="57"/>
      <c r="F101" s="40"/>
      <c r="G101" s="40"/>
      <c r="H101" s="40"/>
      <c r="I101" s="40"/>
      <c r="J101" s="46"/>
      <c r="K101" s="290"/>
      <c r="L101" s="47">
        <f t="shared" si="14"/>
        <v>0</v>
      </c>
    </row>
    <row r="102" spans="2:12" x14ac:dyDescent="0.25">
      <c r="B102" s="44"/>
      <c r="C102" s="39" t="s">
        <v>45</v>
      </c>
      <c r="D102" s="40"/>
      <c r="E102" s="57"/>
      <c r="F102" s="40"/>
      <c r="G102" s="40"/>
      <c r="H102" s="40"/>
      <c r="I102" s="40"/>
      <c r="J102" s="46"/>
      <c r="K102" s="290"/>
      <c r="L102" s="47">
        <f t="shared" si="14"/>
        <v>0</v>
      </c>
    </row>
    <row r="103" spans="2:12" x14ac:dyDescent="0.25">
      <c r="B103" s="44"/>
      <c r="C103" s="48" t="s">
        <v>46</v>
      </c>
      <c r="D103" s="40">
        <v>1</v>
      </c>
      <c r="E103" s="57">
        <f>+E84</f>
        <v>7</v>
      </c>
      <c r="F103" s="40" t="s">
        <v>10</v>
      </c>
      <c r="G103" s="40" t="s">
        <v>14</v>
      </c>
      <c r="H103" s="40" t="s">
        <v>35</v>
      </c>
      <c r="I103" s="40" t="s">
        <v>35</v>
      </c>
      <c r="J103" s="46">
        <f t="shared" ref="J103:J105" si="15">+D103/E103/D103</f>
        <v>0.14285714285714285</v>
      </c>
      <c r="K103" s="290">
        <f>+'Mat y mano obra'!C5</f>
        <v>14806</v>
      </c>
      <c r="L103" s="47">
        <f t="shared" si="14"/>
        <v>2115.1428571428569</v>
      </c>
    </row>
    <row r="104" spans="2:12" x14ac:dyDescent="0.25">
      <c r="B104" s="44"/>
      <c r="C104" s="48" t="s">
        <v>53</v>
      </c>
      <c r="D104" s="40">
        <v>3</v>
      </c>
      <c r="E104" s="57">
        <f>+E84/D104</f>
        <v>2.3333333333333335</v>
      </c>
      <c r="F104" s="40" t="s">
        <v>10</v>
      </c>
      <c r="G104" s="40" t="s">
        <v>14</v>
      </c>
      <c r="H104" s="40" t="s">
        <v>35</v>
      </c>
      <c r="I104" s="40" t="s">
        <v>35</v>
      </c>
      <c r="J104" s="46">
        <f t="shared" si="15"/>
        <v>0.42857142857142855</v>
      </c>
      <c r="K104" s="290">
        <f>+'Mat y mano obra'!C8</f>
        <v>10187</v>
      </c>
      <c r="L104" s="47">
        <f t="shared" si="14"/>
        <v>4365.8571428571422</v>
      </c>
    </row>
    <row r="105" spans="2:12" x14ac:dyDescent="0.25">
      <c r="B105" s="44"/>
      <c r="C105" s="48" t="s">
        <v>47</v>
      </c>
      <c r="D105" s="40">
        <v>1</v>
      </c>
      <c r="E105" s="57">
        <f>+E84</f>
        <v>7</v>
      </c>
      <c r="F105" s="40" t="s">
        <v>10</v>
      </c>
      <c r="G105" s="40" t="s">
        <v>14</v>
      </c>
      <c r="H105" s="40" t="s">
        <v>35</v>
      </c>
      <c r="I105" s="40" t="s">
        <v>35</v>
      </c>
      <c r="J105" s="46">
        <f t="shared" si="15"/>
        <v>0.14285714285714285</v>
      </c>
      <c r="K105" s="290">
        <f>+'Mat y mano obra'!C8</f>
        <v>10187</v>
      </c>
      <c r="L105" s="47">
        <f t="shared" si="14"/>
        <v>1455.2857142857142</v>
      </c>
    </row>
    <row r="106" spans="2:12" x14ac:dyDescent="0.25">
      <c r="B106" s="44"/>
      <c r="C106" s="48" t="s">
        <v>48</v>
      </c>
      <c r="D106" s="40"/>
      <c r="E106" s="57"/>
      <c r="F106" s="40"/>
      <c r="G106" s="40"/>
      <c r="H106" s="40"/>
      <c r="I106" s="40"/>
      <c r="J106" s="46"/>
      <c r="K106" s="290"/>
      <c r="L106" s="47">
        <f t="shared" si="14"/>
        <v>0</v>
      </c>
    </row>
    <row r="107" spans="2:12" x14ac:dyDescent="0.25">
      <c r="B107" s="44"/>
      <c r="C107" s="48" t="s">
        <v>56</v>
      </c>
      <c r="D107" s="40">
        <v>0.5</v>
      </c>
      <c r="E107" s="57">
        <f>+E84/D107</f>
        <v>14</v>
      </c>
      <c r="F107" s="40" t="s">
        <v>10</v>
      </c>
      <c r="G107" s="40" t="s">
        <v>14</v>
      </c>
      <c r="H107" s="40" t="s">
        <v>15</v>
      </c>
      <c r="I107" s="40" t="s">
        <v>15</v>
      </c>
      <c r="J107" s="46">
        <f>+D107/E107/D107</f>
        <v>7.1428571428571425E-2</v>
      </c>
      <c r="K107" s="290">
        <f>+'Mat y mano obra'!C4</f>
        <v>20142</v>
      </c>
      <c r="L107" s="47">
        <f t="shared" si="14"/>
        <v>1438.7142857142856</v>
      </c>
    </row>
    <row r="108" spans="2:12" ht="15.75" thickBot="1" x14ac:dyDescent="0.3">
      <c r="B108" s="50"/>
      <c r="C108" s="51" t="s">
        <v>49</v>
      </c>
      <c r="D108" s="52"/>
      <c r="E108" s="52"/>
      <c r="F108" s="52"/>
      <c r="G108" s="52"/>
      <c r="H108" s="52"/>
      <c r="I108" s="52" t="s">
        <v>26</v>
      </c>
      <c r="J108" s="53">
        <v>57</v>
      </c>
      <c r="K108" s="54" t="s">
        <v>27</v>
      </c>
      <c r="L108" s="55">
        <f>+SUM(L99:L107)*J108%</f>
        <v>8478.5871428571409</v>
      </c>
    </row>
  </sheetData>
  <sheetProtection algorithmName="SHA-512" hashValue="KAukmZGGY2kR+kjap+TmqemQeKzPhOMgkpyUZHMF98S4qVGaSndU0w6ti1KjTG4XaDOVrvac846d7YE4gtNCtA==" saltValue="XcGRazK2enLgjxkrnH0mWw==" spinCount="100000" sheet="1" objects="1" scenarios="1"/>
  <mergeCells count="3">
    <mergeCell ref="F3:H3"/>
    <mergeCell ref="F55:H55"/>
    <mergeCell ref="F83:H83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2:M108"/>
  <sheetViews>
    <sheetView topLeftCell="A79" workbookViewId="0">
      <selection activeCell="K93" sqref="K93"/>
    </sheetView>
  </sheetViews>
  <sheetFormatPr baseColWidth="10" defaultRowHeight="15" x14ac:dyDescent="0.25"/>
  <cols>
    <col min="2" max="2" width="5.28515625" bestFit="1" customWidth="1"/>
    <col min="3" max="3" width="40.42578125" bestFit="1" customWidth="1"/>
    <col min="4" max="4" width="5.42578125" bestFit="1" customWidth="1"/>
    <col min="5" max="5" width="5.7109375" bestFit="1" customWidth="1"/>
    <col min="6" max="6" width="3.14062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8.28515625" bestFit="1" customWidth="1"/>
    <col min="12" max="12" width="7.140625" bestFit="1" customWidth="1"/>
    <col min="13" max="13" width="15.85546875" bestFit="1" customWidth="1"/>
  </cols>
  <sheetData>
    <row r="2" spans="2:13" ht="15.75" thickBot="1" x14ac:dyDescent="0.3"/>
    <row r="3" spans="2:13" ht="15.75" thickBot="1" x14ac:dyDescent="0.3">
      <c r="B3" s="1" t="s">
        <v>0</v>
      </c>
      <c r="C3" s="2" t="s">
        <v>1</v>
      </c>
      <c r="D3" s="3" t="s">
        <v>2</v>
      </c>
      <c r="E3" s="4" t="s">
        <v>3</v>
      </c>
      <c r="F3" s="618" t="s">
        <v>4</v>
      </c>
      <c r="G3" s="619"/>
      <c r="H3" s="620"/>
      <c r="I3" s="2" t="s">
        <v>5</v>
      </c>
      <c r="J3" s="2" t="s">
        <v>6</v>
      </c>
      <c r="K3" s="2" t="s">
        <v>7</v>
      </c>
      <c r="L3" s="5" t="s">
        <v>8</v>
      </c>
    </row>
    <row r="4" spans="2:13" x14ac:dyDescent="0.25">
      <c r="B4" s="6"/>
      <c r="C4" s="7" t="s">
        <v>9</v>
      </c>
      <c r="D4" s="8"/>
      <c r="E4" s="59">
        <f>+rendimiento!C5</f>
        <v>5.5</v>
      </c>
      <c r="F4" s="8"/>
      <c r="G4" s="8"/>
      <c r="H4" s="8"/>
      <c r="I4" s="9" t="s">
        <v>10</v>
      </c>
      <c r="J4" s="9">
        <v>1</v>
      </c>
      <c r="K4" s="10"/>
      <c r="L4" s="11">
        <f>+SUM(L5:L24)</f>
        <v>50954.814090909094</v>
      </c>
    </row>
    <row r="5" spans="2:13" x14ac:dyDescent="0.25">
      <c r="B5" s="12"/>
      <c r="C5" s="13" t="s">
        <v>11</v>
      </c>
      <c r="D5" s="14"/>
      <c r="E5" s="14"/>
      <c r="F5" s="14"/>
      <c r="G5" s="14"/>
      <c r="H5" s="14"/>
      <c r="I5" s="14"/>
      <c r="J5" s="15"/>
      <c r="K5" s="16"/>
      <c r="L5" s="17"/>
    </row>
    <row r="6" spans="2:13" x14ac:dyDescent="0.25">
      <c r="B6" s="12"/>
      <c r="C6" s="18" t="s">
        <v>12</v>
      </c>
      <c r="D6" s="14"/>
      <c r="E6" s="14"/>
      <c r="F6" s="14"/>
      <c r="G6" s="14"/>
      <c r="H6" s="14"/>
      <c r="I6" s="14"/>
      <c r="J6" s="15"/>
      <c r="K6" s="16"/>
      <c r="L6" s="17"/>
    </row>
    <row r="7" spans="2:13" x14ac:dyDescent="0.25">
      <c r="B7" s="19"/>
      <c r="C7" s="13" t="s">
        <v>13</v>
      </c>
      <c r="D7" s="14">
        <v>1</v>
      </c>
      <c r="E7" s="14">
        <f>+$E$4/D7</f>
        <v>5.5</v>
      </c>
      <c r="F7" s="14" t="s">
        <v>10</v>
      </c>
      <c r="G7" s="14" t="s">
        <v>14</v>
      </c>
      <c r="H7" s="14" t="s">
        <v>15</v>
      </c>
      <c r="I7" s="14" t="s">
        <v>15</v>
      </c>
      <c r="J7" s="15">
        <f>+D7/E7/D7</f>
        <v>0.18181818181818182</v>
      </c>
      <c r="K7" s="16">
        <f>+'Mat y mano obra'!D10</f>
        <v>9500</v>
      </c>
      <c r="L7" s="17">
        <f>+K7*J7</f>
        <v>1727.2727272727273</v>
      </c>
    </row>
    <row r="8" spans="2:13" x14ac:dyDescent="0.25">
      <c r="B8" s="19"/>
      <c r="C8" s="13" t="s">
        <v>16</v>
      </c>
      <c r="D8" s="14">
        <v>1</v>
      </c>
      <c r="E8" s="14">
        <f>+$E$4/D8</f>
        <v>5.5</v>
      </c>
      <c r="F8" s="14" t="s">
        <v>10</v>
      </c>
      <c r="G8" s="14" t="s">
        <v>14</v>
      </c>
      <c r="H8" s="14" t="s">
        <v>15</v>
      </c>
      <c r="I8" s="14" t="s">
        <v>15</v>
      </c>
      <c r="J8" s="15">
        <f>+D8/E8/D8</f>
        <v>0.18181818181818182</v>
      </c>
      <c r="K8" s="16">
        <f>+'Mat y mano obra'!D11</f>
        <v>14200</v>
      </c>
      <c r="L8" s="17">
        <f>+K8*J8</f>
        <v>2581.818181818182</v>
      </c>
    </row>
    <row r="9" spans="2:13" x14ac:dyDescent="0.25">
      <c r="B9" s="19"/>
      <c r="C9" s="13" t="s">
        <v>17</v>
      </c>
      <c r="D9" s="14"/>
      <c r="E9" s="14"/>
      <c r="F9" s="14"/>
      <c r="G9" s="14"/>
      <c r="H9" s="14"/>
      <c r="I9" s="14" t="s">
        <v>18</v>
      </c>
      <c r="J9" s="15">
        <v>0.75</v>
      </c>
      <c r="K9" s="58">
        <f>+'Mat y mano obra'!D20</f>
        <v>950</v>
      </c>
      <c r="L9" s="17">
        <f t="shared" ref="L9:L13" si="0">+K9*J9</f>
        <v>712.5</v>
      </c>
    </row>
    <row r="10" spans="2:13" x14ac:dyDescent="0.25">
      <c r="B10" s="19"/>
      <c r="C10" s="13" t="s">
        <v>215</v>
      </c>
      <c r="D10" s="14"/>
      <c r="E10" s="14"/>
      <c r="F10" s="14"/>
      <c r="G10" s="14"/>
      <c r="H10" s="14"/>
      <c r="I10" s="14" t="s">
        <v>10</v>
      </c>
      <c r="J10" s="331">
        <v>0.4</v>
      </c>
      <c r="K10" s="16">
        <f>+'Mat y mano obra'!D21+'APU DT-18'!C13*'APU DT-18'!C14</f>
        <v>6200</v>
      </c>
      <c r="L10" s="17">
        <f t="shared" si="0"/>
        <v>2480</v>
      </c>
    </row>
    <row r="11" spans="2:13" x14ac:dyDescent="0.25">
      <c r="B11" s="19"/>
      <c r="C11" s="13" t="s">
        <v>216</v>
      </c>
      <c r="D11" s="14"/>
      <c r="E11" s="14"/>
      <c r="F11" s="14"/>
      <c r="G11" s="14"/>
      <c r="H11" s="14"/>
      <c r="I11" s="14" t="s">
        <v>10</v>
      </c>
      <c r="J11" s="331">
        <v>0.6</v>
      </c>
      <c r="K11" s="16">
        <f>+'Mat y mano obra'!D22+'APU DT-18'!C14*'APU DT-18'!C13</f>
        <v>6500</v>
      </c>
      <c r="L11" s="17">
        <f t="shared" si="0"/>
        <v>3900</v>
      </c>
    </row>
    <row r="12" spans="2:13" x14ac:dyDescent="0.25">
      <c r="B12" s="19"/>
      <c r="C12" s="13" t="s">
        <v>21</v>
      </c>
      <c r="D12" s="14"/>
      <c r="E12" s="14"/>
      <c r="F12" s="14"/>
      <c r="G12" s="14"/>
      <c r="H12" s="14"/>
      <c r="I12" s="14" t="s">
        <v>22</v>
      </c>
      <c r="J12" s="331">
        <v>4</v>
      </c>
      <c r="K12" s="58">
        <f>+'Mat y mano obra'!D23+6.25*'APU DT-18'!C13</f>
        <v>3475</v>
      </c>
      <c r="L12" s="17">
        <f t="shared" si="0"/>
        <v>13900</v>
      </c>
      <c r="M12" t="s">
        <v>57</v>
      </c>
    </row>
    <row r="13" spans="2:13" x14ac:dyDescent="0.25">
      <c r="B13" s="12"/>
      <c r="C13" s="13" t="s">
        <v>23</v>
      </c>
      <c r="D13" s="14"/>
      <c r="E13" s="14"/>
      <c r="F13" s="14"/>
      <c r="G13" s="14"/>
      <c r="H13" s="14"/>
      <c r="I13" s="14" t="s">
        <v>24</v>
      </c>
      <c r="J13" s="15">
        <v>2.5000000000000001E-2</v>
      </c>
      <c r="K13" s="16"/>
      <c r="L13" s="17">
        <f t="shared" si="0"/>
        <v>0</v>
      </c>
    </row>
    <row r="14" spans="2:13" x14ac:dyDescent="0.25">
      <c r="B14" s="12"/>
      <c r="C14" s="13" t="s">
        <v>25</v>
      </c>
      <c r="D14" s="14"/>
      <c r="E14" s="14"/>
      <c r="F14" s="14"/>
      <c r="G14" s="14"/>
      <c r="H14" s="14"/>
      <c r="I14" s="14" t="s">
        <v>26</v>
      </c>
      <c r="J14" s="20">
        <v>5</v>
      </c>
      <c r="K14" s="16" t="s">
        <v>27</v>
      </c>
      <c r="L14" s="17">
        <f>+(L10+L11+L12)*J14%</f>
        <v>1014</v>
      </c>
    </row>
    <row r="15" spans="2:13" x14ac:dyDescent="0.25">
      <c r="B15" s="12"/>
      <c r="C15" s="21" t="s">
        <v>28</v>
      </c>
      <c r="D15" s="14"/>
      <c r="E15" s="14"/>
      <c r="F15" s="14"/>
      <c r="G15" s="14"/>
      <c r="H15" s="14"/>
      <c r="I15" s="14"/>
      <c r="J15" s="15"/>
      <c r="K15" s="16"/>
      <c r="L15" s="17"/>
    </row>
    <row r="16" spans="2:13" x14ac:dyDescent="0.25">
      <c r="B16" s="12"/>
      <c r="C16" s="21" t="s">
        <v>29</v>
      </c>
      <c r="D16" s="14"/>
      <c r="E16" s="14"/>
      <c r="F16" s="14"/>
      <c r="G16" s="14"/>
      <c r="H16" s="14"/>
      <c r="I16" s="14"/>
      <c r="J16" s="15"/>
      <c r="K16" s="16"/>
      <c r="L16" s="17"/>
    </row>
    <row r="17" spans="2:12" x14ac:dyDescent="0.25">
      <c r="B17" s="19"/>
      <c r="C17" s="13" t="s">
        <v>30</v>
      </c>
      <c r="D17" s="14">
        <v>1</v>
      </c>
      <c r="E17" s="14">
        <f t="shared" ref="E17:E23" si="1">+$E$4/D17</f>
        <v>5.5</v>
      </c>
      <c r="F17" s="14" t="s">
        <v>10</v>
      </c>
      <c r="G17" s="14" t="s">
        <v>14</v>
      </c>
      <c r="H17" s="14" t="s">
        <v>15</v>
      </c>
      <c r="I17" s="14" t="s">
        <v>15</v>
      </c>
      <c r="J17" s="15">
        <f>+D17/E17</f>
        <v>0.18181818181818182</v>
      </c>
      <c r="K17" s="290">
        <f>+'Mat y mano obra'!D5</f>
        <v>16492</v>
      </c>
      <c r="L17" s="17">
        <f>+K17*J17</f>
        <v>2998.5454545454545</v>
      </c>
    </row>
    <row r="18" spans="2:12" x14ac:dyDescent="0.25">
      <c r="B18" s="19"/>
      <c r="C18" s="13" t="s">
        <v>31</v>
      </c>
      <c r="D18" s="14">
        <v>2</v>
      </c>
      <c r="E18" s="14">
        <f t="shared" si="1"/>
        <v>2.75</v>
      </c>
      <c r="F18" s="14" t="s">
        <v>10</v>
      </c>
      <c r="G18" s="14" t="s">
        <v>14</v>
      </c>
      <c r="H18" s="14" t="s">
        <v>15</v>
      </c>
      <c r="I18" s="14" t="s">
        <v>15</v>
      </c>
      <c r="J18" s="15">
        <f>+D18/E18/D18</f>
        <v>0.36363636363636365</v>
      </c>
      <c r="K18" s="290">
        <f>+'Mat y mano obra'!D7</f>
        <v>11846</v>
      </c>
      <c r="L18" s="17">
        <f>+K18*J18</f>
        <v>4307.636363636364</v>
      </c>
    </row>
    <row r="19" spans="2:12" x14ac:dyDescent="0.25">
      <c r="B19" s="19"/>
      <c r="C19" s="18" t="s">
        <v>32</v>
      </c>
      <c r="D19" s="14"/>
      <c r="E19" s="14"/>
      <c r="F19" s="14"/>
      <c r="G19" s="14"/>
      <c r="H19" s="14"/>
      <c r="I19" s="14"/>
      <c r="J19" s="15"/>
      <c r="K19" s="290"/>
      <c r="L19" s="17"/>
    </row>
    <row r="20" spans="2:12" x14ac:dyDescent="0.25">
      <c r="B20" s="19"/>
      <c r="C20" s="21" t="s">
        <v>33</v>
      </c>
      <c r="D20" s="14"/>
      <c r="E20" s="14"/>
      <c r="F20" s="14" t="s">
        <v>10</v>
      </c>
      <c r="G20" s="14" t="s">
        <v>14</v>
      </c>
      <c r="H20" s="14" t="s">
        <v>15</v>
      </c>
      <c r="I20" s="14" t="s">
        <v>15</v>
      </c>
      <c r="J20" s="15"/>
      <c r="K20" s="290"/>
      <c r="L20" s="17"/>
    </row>
    <row r="21" spans="2:12" x14ac:dyDescent="0.25">
      <c r="B21" s="19"/>
      <c r="C21" s="13" t="s">
        <v>34</v>
      </c>
      <c r="D21" s="14">
        <v>3</v>
      </c>
      <c r="E21" s="22">
        <f t="shared" si="1"/>
        <v>1.8333333333333333</v>
      </c>
      <c r="F21" s="14" t="s">
        <v>10</v>
      </c>
      <c r="G21" s="14" t="s">
        <v>14</v>
      </c>
      <c r="H21" s="14" t="s">
        <v>35</v>
      </c>
      <c r="I21" s="14" t="s">
        <v>35</v>
      </c>
      <c r="J21" s="15">
        <f>+D21/E21/D21</f>
        <v>0.54545454545454553</v>
      </c>
      <c r="K21" s="290">
        <f>+'Mat y mano obra'!D8</f>
        <v>10187</v>
      </c>
      <c r="L21" s="17">
        <f>+K21*J21</f>
        <v>5556.545454545455</v>
      </c>
    </row>
    <row r="22" spans="2:12" x14ac:dyDescent="0.25">
      <c r="B22" s="19"/>
      <c r="C22" s="13" t="s">
        <v>36</v>
      </c>
      <c r="D22" s="14">
        <v>1</v>
      </c>
      <c r="E22" s="14">
        <f t="shared" si="1"/>
        <v>5.5</v>
      </c>
      <c r="F22" s="14" t="s">
        <v>10</v>
      </c>
      <c r="G22" s="14" t="s">
        <v>14</v>
      </c>
      <c r="H22" s="14" t="s">
        <v>35</v>
      </c>
      <c r="I22" s="14" t="s">
        <v>35</v>
      </c>
      <c r="J22" s="15">
        <f>+D22/E22</f>
        <v>0.18181818181818182</v>
      </c>
      <c r="K22" s="290">
        <f>+'Mat y mano obra'!D8</f>
        <v>10187</v>
      </c>
      <c r="L22" s="17">
        <f t="shared" ref="L22:L23" si="2">+K22*J22</f>
        <v>1852.1818181818182</v>
      </c>
    </row>
    <row r="23" spans="2:12" x14ac:dyDescent="0.25">
      <c r="B23" s="19"/>
      <c r="C23" s="13" t="s">
        <v>55</v>
      </c>
      <c r="D23" s="14">
        <v>0.5</v>
      </c>
      <c r="E23" s="14">
        <f t="shared" si="1"/>
        <v>11</v>
      </c>
      <c r="F23" s="14" t="s">
        <v>10</v>
      </c>
      <c r="G23" s="14" t="s">
        <v>14</v>
      </c>
      <c r="H23" s="14" t="s">
        <v>15</v>
      </c>
      <c r="I23" s="14" t="s">
        <v>15</v>
      </c>
      <c r="J23" s="15">
        <f>+D23/E23</f>
        <v>4.5454545454545456E-2</v>
      </c>
      <c r="K23" s="290">
        <f>+'Mat y mano obra'!D4</f>
        <v>21535</v>
      </c>
      <c r="L23" s="17">
        <f t="shared" si="2"/>
        <v>978.86363636363637</v>
      </c>
    </row>
    <row r="24" spans="2:12" ht="15.75" thickBot="1" x14ac:dyDescent="0.3">
      <c r="B24" s="23"/>
      <c r="C24" s="24" t="s">
        <v>38</v>
      </c>
      <c r="D24" s="25"/>
      <c r="E24" s="25"/>
      <c r="F24" s="25"/>
      <c r="G24" s="25"/>
      <c r="H24" s="25"/>
      <c r="I24" s="25" t="s">
        <v>26</v>
      </c>
      <c r="J24" s="26">
        <v>57</v>
      </c>
      <c r="K24" s="27" t="s">
        <v>27</v>
      </c>
      <c r="L24" s="28">
        <f>+SUM(L17:L23)*J24%</f>
        <v>8945.4504545454529</v>
      </c>
    </row>
    <row r="26" spans="2:12" ht="15.75" thickBot="1" x14ac:dyDescent="0.3"/>
    <row r="27" spans="2:12" ht="15.75" thickBot="1" x14ac:dyDescent="0.3">
      <c r="B27" s="1" t="s">
        <v>0</v>
      </c>
      <c r="C27" s="2" t="s">
        <v>1</v>
      </c>
      <c r="D27" s="30"/>
      <c r="E27" s="30"/>
      <c r="F27" s="30"/>
      <c r="G27" s="30"/>
      <c r="H27" s="30"/>
      <c r="I27" s="2" t="s">
        <v>5</v>
      </c>
      <c r="J27" s="2" t="s">
        <v>6</v>
      </c>
      <c r="K27" s="2" t="s">
        <v>7</v>
      </c>
      <c r="L27" s="31" t="s">
        <v>8</v>
      </c>
    </row>
    <row r="28" spans="2:12" x14ac:dyDescent="0.25">
      <c r="B28" s="32"/>
      <c r="C28" s="33" t="s">
        <v>39</v>
      </c>
      <c r="D28" s="34"/>
      <c r="E28" s="59">
        <f>+rendimiento!C6</f>
        <v>5.5</v>
      </c>
      <c r="F28" s="34"/>
      <c r="G28" s="34"/>
      <c r="H28" s="34"/>
      <c r="I28" s="35" t="s">
        <v>10</v>
      </c>
      <c r="J28" s="35">
        <v>1</v>
      </c>
      <c r="K28" s="36"/>
      <c r="L28" s="37">
        <f>+SUM(L29:L52)</f>
        <v>79830.634545454566</v>
      </c>
    </row>
    <row r="29" spans="2:12" x14ac:dyDescent="0.25">
      <c r="B29" s="38"/>
      <c r="C29" s="39" t="s">
        <v>40</v>
      </c>
      <c r="D29" s="40"/>
      <c r="E29" s="40"/>
      <c r="F29" s="40"/>
      <c r="G29" s="40"/>
      <c r="H29" s="40"/>
      <c r="I29" s="41"/>
      <c r="J29" s="42"/>
      <c r="K29" s="29"/>
      <c r="L29" s="43"/>
    </row>
    <row r="30" spans="2:12" x14ac:dyDescent="0.25">
      <c r="B30" s="44"/>
      <c r="C30" s="45" t="s">
        <v>12</v>
      </c>
      <c r="D30" s="40"/>
      <c r="E30" s="40"/>
      <c r="F30" s="40"/>
      <c r="G30" s="40"/>
      <c r="H30" s="40"/>
      <c r="I30" s="40"/>
      <c r="J30" s="46"/>
      <c r="K30" s="29"/>
      <c r="L30" s="47"/>
    </row>
    <row r="31" spans="2:12" x14ac:dyDescent="0.25">
      <c r="B31" s="44"/>
      <c r="C31" s="48" t="s">
        <v>13</v>
      </c>
      <c r="D31" s="40">
        <v>1</v>
      </c>
      <c r="E31" s="40">
        <f>+$E$28/D31</f>
        <v>5.5</v>
      </c>
      <c r="F31" s="40" t="s">
        <v>10</v>
      </c>
      <c r="G31" s="40" t="s">
        <v>14</v>
      </c>
      <c r="H31" s="40" t="s">
        <v>15</v>
      </c>
      <c r="I31" s="40" t="s">
        <v>15</v>
      </c>
      <c r="J31" s="46">
        <f>+D31/E31/D31</f>
        <v>0.18181818181818182</v>
      </c>
      <c r="K31" s="29">
        <f>+'Mat y mano obra'!D10</f>
        <v>9500</v>
      </c>
      <c r="L31" s="47">
        <f>+K31*J31</f>
        <v>1727.2727272727273</v>
      </c>
    </row>
    <row r="32" spans="2:12" x14ac:dyDescent="0.25">
      <c r="B32" s="44"/>
      <c r="C32" s="48" t="s">
        <v>16</v>
      </c>
      <c r="D32" s="40">
        <v>1</v>
      </c>
      <c r="E32" s="40">
        <f>+$E$28/D32</f>
        <v>5.5</v>
      </c>
      <c r="F32" s="40" t="s">
        <v>10</v>
      </c>
      <c r="G32" s="40" t="s">
        <v>14</v>
      </c>
      <c r="H32" s="40" t="s">
        <v>15</v>
      </c>
      <c r="I32" s="40" t="s">
        <v>15</v>
      </c>
      <c r="J32" s="46">
        <f>+D32/E32/D32</f>
        <v>0.18181818181818182</v>
      </c>
      <c r="K32" s="29">
        <f>+'Mat y mano obra'!D11</f>
        <v>14200</v>
      </c>
      <c r="L32" s="47">
        <f>+K32*J32</f>
        <v>2581.818181818182</v>
      </c>
    </row>
    <row r="33" spans="2:13" x14ac:dyDescent="0.25">
      <c r="B33" s="44"/>
      <c r="C33" s="48" t="s">
        <v>17</v>
      </c>
      <c r="D33" s="40"/>
      <c r="E33" s="40"/>
      <c r="F33" s="40"/>
      <c r="G33" s="40"/>
      <c r="H33" s="40"/>
      <c r="I33" s="40" t="s">
        <v>18</v>
      </c>
      <c r="J33" s="46">
        <v>0.75</v>
      </c>
      <c r="K33" s="58">
        <f>+'Mat y mano obra'!D20</f>
        <v>950</v>
      </c>
      <c r="L33" s="47">
        <f t="shared" ref="L33:L40" si="3">+K33*J33</f>
        <v>712.5</v>
      </c>
    </row>
    <row r="34" spans="2:13" x14ac:dyDescent="0.25">
      <c r="B34" s="44"/>
      <c r="C34" s="48" t="s">
        <v>21</v>
      </c>
      <c r="D34" s="40"/>
      <c r="E34" s="40"/>
      <c r="F34" s="40"/>
      <c r="G34" s="40"/>
      <c r="H34" s="40"/>
      <c r="I34" s="40" t="s">
        <v>22</v>
      </c>
      <c r="J34" s="331">
        <v>9</v>
      </c>
      <c r="K34" s="58">
        <f>+'Mat y mano obra'!D23+6.25*'APU DT-18'!C13</f>
        <v>3475</v>
      </c>
      <c r="L34" s="47">
        <f t="shared" si="3"/>
        <v>31275</v>
      </c>
      <c r="M34" t="s">
        <v>58</v>
      </c>
    </row>
    <row r="35" spans="2:13" x14ac:dyDescent="0.25">
      <c r="B35" s="44"/>
      <c r="C35" s="48" t="s">
        <v>23</v>
      </c>
      <c r="D35" s="40"/>
      <c r="E35" s="40"/>
      <c r="F35" s="40"/>
      <c r="G35" s="40"/>
      <c r="H35" s="40"/>
      <c r="I35" s="40" t="s">
        <v>24</v>
      </c>
      <c r="J35" s="46">
        <v>5.6000000000000001E-2</v>
      </c>
      <c r="K35" s="29"/>
      <c r="L35" s="47">
        <f t="shared" si="3"/>
        <v>0</v>
      </c>
    </row>
    <row r="36" spans="2:13" x14ac:dyDescent="0.25">
      <c r="B36" s="44"/>
      <c r="C36" s="48" t="s">
        <v>19</v>
      </c>
      <c r="D36" s="40"/>
      <c r="E36" s="40"/>
      <c r="F36" s="40"/>
      <c r="G36" s="40"/>
      <c r="H36" s="40"/>
      <c r="I36" s="40" t="s">
        <v>10</v>
      </c>
      <c r="J36" s="331">
        <v>0.78700000000000003</v>
      </c>
      <c r="K36" s="29">
        <f>+'Mat y mano obra'!D21+'APU DT-18'!C14*'APU DT-18'!C13</f>
        <v>6200</v>
      </c>
      <c r="L36" s="47">
        <f t="shared" si="3"/>
        <v>4879.4000000000005</v>
      </c>
    </row>
    <row r="37" spans="2:13" x14ac:dyDescent="0.25">
      <c r="B37" s="44"/>
      <c r="C37" s="48" t="s">
        <v>20</v>
      </c>
      <c r="D37" s="40"/>
      <c r="E37" s="40"/>
      <c r="F37" s="40"/>
      <c r="G37" s="40"/>
      <c r="H37" s="40"/>
      <c r="I37" s="40" t="s">
        <v>10</v>
      </c>
      <c r="J37" s="331">
        <v>0.438</v>
      </c>
      <c r="K37" s="29">
        <f>+'Mat y mano obra'!D22+'APU DT-18'!C14*'APU DT-18'!C13</f>
        <v>6500</v>
      </c>
      <c r="L37" s="47">
        <f t="shared" si="3"/>
        <v>2847</v>
      </c>
    </row>
    <row r="38" spans="2:13" x14ac:dyDescent="0.25">
      <c r="B38" s="44"/>
      <c r="C38" s="48" t="s">
        <v>41</v>
      </c>
      <c r="D38" s="40"/>
      <c r="E38" s="40"/>
      <c r="F38" s="40"/>
      <c r="G38" s="40"/>
      <c r="H38" s="40"/>
      <c r="I38" s="60" t="s">
        <v>26</v>
      </c>
      <c r="J38" s="61">
        <v>5</v>
      </c>
      <c r="K38" s="58" t="s">
        <v>27</v>
      </c>
      <c r="L38" s="62">
        <f>+(L37+L36+L34)*J38%</f>
        <v>1950.0700000000002</v>
      </c>
    </row>
    <row r="39" spans="2:13" x14ac:dyDescent="0.25">
      <c r="B39" s="44"/>
      <c r="C39" s="48" t="s">
        <v>42</v>
      </c>
      <c r="D39" s="40">
        <v>1</v>
      </c>
      <c r="E39" s="40">
        <f>+$E$28/D39</f>
        <v>5.5</v>
      </c>
      <c r="F39" s="40" t="s">
        <v>10</v>
      </c>
      <c r="G39" s="40" t="s">
        <v>14</v>
      </c>
      <c r="H39" s="40" t="s">
        <v>15</v>
      </c>
      <c r="I39" s="40" t="s">
        <v>15</v>
      </c>
      <c r="J39" s="46">
        <f>+D39/E39/D39</f>
        <v>0.18181818181818182</v>
      </c>
      <c r="K39" s="29">
        <f>+'Mat y mano obra'!D12</f>
        <v>6500</v>
      </c>
      <c r="L39" s="47">
        <f t="shared" si="3"/>
        <v>1181.8181818181818</v>
      </c>
    </row>
    <row r="40" spans="2:13" x14ac:dyDescent="0.25">
      <c r="B40" s="44"/>
      <c r="C40" s="48" t="s">
        <v>43</v>
      </c>
      <c r="D40" s="40"/>
      <c r="E40" s="40"/>
      <c r="F40" s="40"/>
      <c r="G40" s="40"/>
      <c r="H40" s="40"/>
      <c r="I40" s="40" t="s">
        <v>44</v>
      </c>
      <c r="J40" s="46">
        <v>0.7</v>
      </c>
      <c r="K40" s="58">
        <f>+'Mat y mano obra'!D24</f>
        <v>2560</v>
      </c>
      <c r="L40" s="47">
        <f t="shared" si="3"/>
        <v>1792</v>
      </c>
      <c r="M40" t="s">
        <v>58</v>
      </c>
    </row>
    <row r="41" spans="2:13" x14ac:dyDescent="0.25">
      <c r="B41" s="44"/>
      <c r="C41" s="39" t="s">
        <v>28</v>
      </c>
      <c r="D41" s="40"/>
      <c r="E41" s="40"/>
      <c r="F41" s="40"/>
      <c r="G41" s="40"/>
      <c r="H41" s="40"/>
      <c r="I41" s="40"/>
      <c r="J41" s="46"/>
      <c r="K41" s="29"/>
      <c r="L41" s="47"/>
    </row>
    <row r="42" spans="2:13" x14ac:dyDescent="0.25">
      <c r="B42" s="44"/>
      <c r="C42" s="39" t="s">
        <v>29</v>
      </c>
      <c r="D42" s="40"/>
      <c r="E42" s="40"/>
      <c r="F42" s="40"/>
      <c r="G42" s="40"/>
      <c r="H42" s="40"/>
      <c r="I42" s="40"/>
      <c r="J42" s="46"/>
      <c r="K42" s="29"/>
      <c r="L42" s="47"/>
    </row>
    <row r="43" spans="2:13" x14ac:dyDescent="0.25">
      <c r="B43" s="44"/>
      <c r="C43" s="48" t="s">
        <v>54</v>
      </c>
      <c r="D43" s="40">
        <v>1</v>
      </c>
      <c r="E43" s="40">
        <f>+$E$28/D43</f>
        <v>5.5</v>
      </c>
      <c r="F43" s="40" t="s">
        <v>10</v>
      </c>
      <c r="G43" s="40" t="s">
        <v>14</v>
      </c>
      <c r="H43" s="40" t="s">
        <v>35</v>
      </c>
      <c r="I43" s="40" t="s">
        <v>35</v>
      </c>
      <c r="J43" s="46">
        <f>+D43/E43/D43</f>
        <v>0.18181818181818182</v>
      </c>
      <c r="K43" s="290">
        <f>+'Mat y mano obra'!D5</f>
        <v>16492</v>
      </c>
      <c r="L43" s="47">
        <f>+K43*J43</f>
        <v>2998.5454545454545</v>
      </c>
    </row>
    <row r="44" spans="2:13" x14ac:dyDescent="0.25">
      <c r="B44" s="44"/>
      <c r="C44" s="48" t="s">
        <v>31</v>
      </c>
      <c r="D44" s="40">
        <v>2</v>
      </c>
      <c r="E44" s="40">
        <f>+$E$28/D44</f>
        <v>2.75</v>
      </c>
      <c r="F44" s="40" t="s">
        <v>10</v>
      </c>
      <c r="G44" s="40" t="s">
        <v>14</v>
      </c>
      <c r="H44" s="40" t="s">
        <v>35</v>
      </c>
      <c r="I44" s="40" t="s">
        <v>35</v>
      </c>
      <c r="J44" s="46">
        <f>+D44/E44/D44</f>
        <v>0.36363636363636365</v>
      </c>
      <c r="K44" s="290">
        <f>+'Mat y mano obra'!D7</f>
        <v>11846</v>
      </c>
      <c r="L44" s="47">
        <f>+K44*J44</f>
        <v>4307.636363636364</v>
      </c>
    </row>
    <row r="45" spans="2:13" x14ac:dyDescent="0.25">
      <c r="B45" s="44"/>
      <c r="C45" s="45" t="s">
        <v>32</v>
      </c>
      <c r="D45" s="40"/>
      <c r="E45" s="40"/>
      <c r="F45" s="40"/>
      <c r="G45" s="40"/>
      <c r="H45" s="40"/>
      <c r="I45" s="40"/>
      <c r="J45" s="46"/>
      <c r="K45" s="290"/>
      <c r="L45" s="47"/>
    </row>
    <row r="46" spans="2:13" x14ac:dyDescent="0.25">
      <c r="B46" s="44"/>
      <c r="C46" s="39" t="s">
        <v>45</v>
      </c>
      <c r="D46" s="40"/>
      <c r="E46" s="40"/>
      <c r="F46" s="40"/>
      <c r="G46" s="40"/>
      <c r="H46" s="40"/>
      <c r="I46" s="40"/>
      <c r="J46" s="46"/>
      <c r="K46" s="290"/>
      <c r="L46" s="47"/>
    </row>
    <row r="47" spans="2:13" x14ac:dyDescent="0.25">
      <c r="B47" s="44"/>
      <c r="C47" s="48" t="s">
        <v>46</v>
      </c>
      <c r="D47" s="40">
        <v>1</v>
      </c>
      <c r="E47" s="40">
        <f>+$E$28/D47</f>
        <v>5.5</v>
      </c>
      <c r="F47" s="40" t="s">
        <v>10</v>
      </c>
      <c r="G47" s="40" t="s">
        <v>14</v>
      </c>
      <c r="H47" s="40" t="s">
        <v>35</v>
      </c>
      <c r="I47" s="40" t="s">
        <v>35</v>
      </c>
      <c r="J47" s="46">
        <f>+D47/E47/D47</f>
        <v>0.18181818181818182</v>
      </c>
      <c r="K47" s="290">
        <f>+'Mat y mano obra'!D5</f>
        <v>16492</v>
      </c>
      <c r="L47" s="47">
        <f t="shared" ref="L47:L49" si="4">+K47*J47</f>
        <v>2998.5454545454545</v>
      </c>
    </row>
    <row r="48" spans="2:13" x14ac:dyDescent="0.25">
      <c r="B48" s="44"/>
      <c r="C48" s="48" t="s">
        <v>34</v>
      </c>
      <c r="D48" s="40">
        <v>3</v>
      </c>
      <c r="E48" s="57">
        <f>+$E$28/D48</f>
        <v>1.8333333333333333</v>
      </c>
      <c r="F48" s="40" t="s">
        <v>10</v>
      </c>
      <c r="G48" s="40" t="s">
        <v>14</v>
      </c>
      <c r="H48" s="40" t="s">
        <v>35</v>
      </c>
      <c r="I48" s="40" t="s">
        <v>35</v>
      </c>
      <c r="J48" s="46">
        <f>+D48/E48/D48</f>
        <v>0.54545454545454553</v>
      </c>
      <c r="K48" s="290">
        <f>+'Mat y mano obra'!D8</f>
        <v>10187</v>
      </c>
      <c r="L48" s="47">
        <f t="shared" si="4"/>
        <v>5556.545454545455</v>
      </c>
    </row>
    <row r="49" spans="2:13" x14ac:dyDescent="0.25">
      <c r="B49" s="44"/>
      <c r="C49" s="48" t="s">
        <v>47</v>
      </c>
      <c r="D49" s="40">
        <v>1</v>
      </c>
      <c r="E49" s="40">
        <f>+$E$28/D49</f>
        <v>5.5</v>
      </c>
      <c r="F49" s="40" t="s">
        <v>10</v>
      </c>
      <c r="G49" s="40" t="s">
        <v>14</v>
      </c>
      <c r="H49" s="40" t="s">
        <v>35</v>
      </c>
      <c r="I49" s="40" t="s">
        <v>35</v>
      </c>
      <c r="J49" s="46">
        <f>+D49/E49/D49</f>
        <v>0.18181818181818182</v>
      </c>
      <c r="K49" s="290">
        <f>+'Mat y mano obra'!D8</f>
        <v>10187</v>
      </c>
      <c r="L49" s="47">
        <f t="shared" si="4"/>
        <v>1852.1818181818182</v>
      </c>
    </row>
    <row r="50" spans="2:13" x14ac:dyDescent="0.25">
      <c r="B50" s="44"/>
      <c r="C50" s="48" t="s">
        <v>48</v>
      </c>
      <c r="D50" s="40"/>
      <c r="E50" s="40"/>
      <c r="F50" s="40"/>
      <c r="G50" s="40"/>
      <c r="H50" s="40"/>
      <c r="I50" s="40"/>
      <c r="J50" s="46"/>
      <c r="K50" s="290"/>
      <c r="L50" s="47"/>
    </row>
    <row r="51" spans="2:13" x14ac:dyDescent="0.25">
      <c r="B51" s="44"/>
      <c r="C51" s="48" t="s">
        <v>56</v>
      </c>
      <c r="D51" s="40">
        <v>0.5</v>
      </c>
      <c r="E51" s="40">
        <f>+$E$28/D51</f>
        <v>11</v>
      </c>
      <c r="F51" s="40" t="s">
        <v>10</v>
      </c>
      <c r="G51" s="40" t="s">
        <v>14</v>
      </c>
      <c r="H51" s="40" t="s">
        <v>15</v>
      </c>
      <c r="I51" s="40" t="s">
        <v>15</v>
      </c>
      <c r="J51" s="46">
        <f>+D51/E51/D51</f>
        <v>9.0909090909090912E-2</v>
      </c>
      <c r="K51" s="290">
        <f>+'Mat y mano obra'!D4</f>
        <v>21535</v>
      </c>
      <c r="L51" s="47">
        <f>+K51*J51</f>
        <v>1957.7272727272727</v>
      </c>
    </row>
    <row r="52" spans="2:13" ht="15.75" thickBot="1" x14ac:dyDescent="0.3">
      <c r="B52" s="50"/>
      <c r="C52" s="51" t="s">
        <v>49</v>
      </c>
      <c r="D52" s="52"/>
      <c r="E52" s="52"/>
      <c r="F52" s="52"/>
      <c r="G52" s="52"/>
      <c r="H52" s="52"/>
      <c r="I52" s="52" t="s">
        <v>26</v>
      </c>
      <c r="J52" s="53">
        <v>57</v>
      </c>
      <c r="K52" s="54" t="s">
        <v>27</v>
      </c>
      <c r="L52" s="55">
        <f>+SUM(L43:L51)*J52%</f>
        <v>11212.573636363637</v>
      </c>
    </row>
    <row r="54" spans="2:13" ht="15.75" thickBot="1" x14ac:dyDescent="0.3"/>
    <row r="55" spans="2:13" ht="15.75" thickBot="1" x14ac:dyDescent="0.3">
      <c r="B55" s="1" t="s">
        <v>0</v>
      </c>
      <c r="C55" s="2" t="s">
        <v>1</v>
      </c>
      <c r="D55" s="3" t="s">
        <v>2</v>
      </c>
      <c r="E55" s="4" t="s">
        <v>3</v>
      </c>
      <c r="F55" s="618" t="s">
        <v>4</v>
      </c>
      <c r="G55" s="619"/>
      <c r="H55" s="620"/>
      <c r="I55" s="2" t="s">
        <v>5</v>
      </c>
      <c r="J55" s="2" t="s">
        <v>6</v>
      </c>
      <c r="K55" s="2" t="s">
        <v>7</v>
      </c>
      <c r="L55" s="31" t="s">
        <v>8</v>
      </c>
    </row>
    <row r="56" spans="2:13" x14ac:dyDescent="0.25">
      <c r="B56" s="32"/>
      <c r="C56" s="33" t="s">
        <v>50</v>
      </c>
      <c r="D56" s="34"/>
      <c r="E56" s="59">
        <f>+rendimiento!C7</f>
        <v>5.5</v>
      </c>
      <c r="F56" s="34"/>
      <c r="G56" s="34"/>
      <c r="H56" s="34"/>
      <c r="I56" s="35" t="s">
        <v>10</v>
      </c>
      <c r="J56" s="35">
        <v>1</v>
      </c>
      <c r="K56" s="36"/>
      <c r="L56" s="37">
        <f>+SUM(L57:L80)</f>
        <v>83386.039545454565</v>
      </c>
    </row>
    <row r="57" spans="2:13" x14ac:dyDescent="0.25">
      <c r="B57" s="38"/>
      <c r="C57" s="39" t="s">
        <v>51</v>
      </c>
      <c r="D57" s="40"/>
      <c r="E57" s="40"/>
      <c r="F57" s="40"/>
      <c r="G57" s="40"/>
      <c r="H57" s="40"/>
      <c r="I57" s="41"/>
      <c r="J57" s="41"/>
      <c r="K57" s="29"/>
      <c r="L57" s="43"/>
    </row>
    <row r="58" spans="2:13" x14ac:dyDescent="0.25">
      <c r="B58" s="44"/>
      <c r="C58" s="45" t="s">
        <v>12</v>
      </c>
      <c r="D58" s="40"/>
      <c r="E58" s="40"/>
      <c r="F58" s="40"/>
      <c r="G58" s="40"/>
      <c r="H58" s="40"/>
      <c r="I58" s="40"/>
      <c r="J58" s="40"/>
      <c r="K58" s="29"/>
      <c r="L58" s="47"/>
    </row>
    <row r="59" spans="2:13" x14ac:dyDescent="0.25">
      <c r="B59" s="44"/>
      <c r="C59" s="48" t="s">
        <v>13</v>
      </c>
      <c r="D59" s="40">
        <v>1</v>
      </c>
      <c r="E59" s="40">
        <f>+$E$56/D59</f>
        <v>5.5</v>
      </c>
      <c r="F59" s="40" t="s">
        <v>10</v>
      </c>
      <c r="G59" s="40" t="s">
        <v>14</v>
      </c>
      <c r="H59" s="40" t="s">
        <v>15</v>
      </c>
      <c r="I59" s="40" t="s">
        <v>15</v>
      </c>
      <c r="J59" s="56">
        <f t="shared" ref="J59:J60" si="5">+D59/E59/D59</f>
        <v>0.18181818181818182</v>
      </c>
      <c r="K59" s="29">
        <f>+'Mat y mano obra'!D10</f>
        <v>9500</v>
      </c>
      <c r="L59" s="47">
        <f>+K59*J59</f>
        <v>1727.2727272727273</v>
      </c>
    </row>
    <row r="60" spans="2:13" x14ac:dyDescent="0.25">
      <c r="B60" s="44"/>
      <c r="C60" s="48" t="s">
        <v>16</v>
      </c>
      <c r="D60" s="40">
        <v>1</v>
      </c>
      <c r="E60" s="40">
        <f>+$E$56/D60</f>
        <v>5.5</v>
      </c>
      <c r="F60" s="40" t="s">
        <v>10</v>
      </c>
      <c r="G60" s="40" t="s">
        <v>14</v>
      </c>
      <c r="H60" s="40" t="s">
        <v>15</v>
      </c>
      <c r="I60" s="40" t="s">
        <v>15</v>
      </c>
      <c r="J60" s="56">
        <f t="shared" si="5"/>
        <v>0.18181818181818182</v>
      </c>
      <c r="K60" s="29">
        <f>+'Mat y mano obra'!D11</f>
        <v>14200</v>
      </c>
      <c r="L60" s="47">
        <f>+K60*J60</f>
        <v>2581.818181818182</v>
      </c>
    </row>
    <row r="61" spans="2:13" x14ac:dyDescent="0.25">
      <c r="B61" s="44"/>
      <c r="C61" s="48" t="s">
        <v>17</v>
      </c>
      <c r="D61" s="40"/>
      <c r="E61" s="40"/>
      <c r="F61" s="40"/>
      <c r="G61" s="40"/>
      <c r="H61" s="40"/>
      <c r="I61" s="40" t="s">
        <v>18</v>
      </c>
      <c r="J61" s="56">
        <v>0.75</v>
      </c>
      <c r="K61" s="58">
        <f>+'Mat y mano obra'!D20</f>
        <v>950</v>
      </c>
      <c r="L61" s="47">
        <f t="shared" ref="L61:L65" si="6">+K61*J61</f>
        <v>712.5</v>
      </c>
    </row>
    <row r="62" spans="2:13" x14ac:dyDescent="0.25">
      <c r="B62" s="44"/>
      <c r="C62" s="48" t="s">
        <v>52</v>
      </c>
      <c r="D62" s="40"/>
      <c r="E62" s="40"/>
      <c r="F62" s="40"/>
      <c r="G62" s="40"/>
      <c r="H62" s="40"/>
      <c r="I62" s="40" t="s">
        <v>22</v>
      </c>
      <c r="J62" s="332">
        <v>10</v>
      </c>
      <c r="K62" s="58">
        <f>+'Mat y mano obra'!D23+6.25*'APU DT-18'!C13</f>
        <v>3475</v>
      </c>
      <c r="L62" s="47">
        <f t="shared" si="6"/>
        <v>34750</v>
      </c>
      <c r="M62" t="s">
        <v>58</v>
      </c>
    </row>
    <row r="63" spans="2:13" x14ac:dyDescent="0.25">
      <c r="B63" s="44"/>
      <c r="C63" s="48" t="s">
        <v>23</v>
      </c>
      <c r="D63" s="40"/>
      <c r="E63" s="40"/>
      <c r="F63" s="40"/>
      <c r="G63" s="40"/>
      <c r="H63" s="40"/>
      <c r="I63" s="40" t="s">
        <v>24</v>
      </c>
      <c r="J63" s="56">
        <v>6.25E-2</v>
      </c>
      <c r="K63" s="29"/>
      <c r="L63" s="47">
        <f t="shared" si="6"/>
        <v>0</v>
      </c>
    </row>
    <row r="64" spans="2:13" x14ac:dyDescent="0.25">
      <c r="B64" s="44"/>
      <c r="C64" s="48" t="s">
        <v>19</v>
      </c>
      <c r="D64" s="40"/>
      <c r="E64" s="57"/>
      <c r="F64" s="40"/>
      <c r="G64" s="40"/>
      <c r="H64" s="40"/>
      <c r="I64" s="40" t="s">
        <v>10</v>
      </c>
      <c r="J64" s="332">
        <v>0.78</v>
      </c>
      <c r="K64" s="29">
        <f>+'Mat y mano obra'!D21+'APU DT-18'!C14*'APU DT-18'!C13</f>
        <v>6200</v>
      </c>
      <c r="L64" s="47">
        <f t="shared" si="6"/>
        <v>4836</v>
      </c>
    </row>
    <row r="65" spans="2:13" x14ac:dyDescent="0.25">
      <c r="B65" s="44"/>
      <c r="C65" s="48" t="s">
        <v>20</v>
      </c>
      <c r="D65" s="40"/>
      <c r="E65" s="57"/>
      <c r="F65" s="40"/>
      <c r="G65" s="40"/>
      <c r="H65" s="40"/>
      <c r="I65" s="40" t="s">
        <v>10</v>
      </c>
      <c r="J65" s="332">
        <v>0.43099999999999999</v>
      </c>
      <c r="K65" s="29">
        <f>'APU DT-18'!C13*'APU DT-18'!C14+'Mat y mano obra'!D22</f>
        <v>6500</v>
      </c>
      <c r="L65" s="47">
        <f t="shared" si="6"/>
        <v>2801.5</v>
      </c>
      <c r="M65" s="333">
        <f>+J37-J65</f>
        <v>7.0000000000000062E-3</v>
      </c>
    </row>
    <row r="66" spans="2:13" x14ac:dyDescent="0.25">
      <c r="B66" s="44"/>
      <c r="C66" s="48" t="s">
        <v>25</v>
      </c>
      <c r="D66" s="40"/>
      <c r="E66" s="57"/>
      <c r="F66" s="40"/>
      <c r="G66" s="40"/>
      <c r="H66" s="40"/>
      <c r="I66" s="40" t="s">
        <v>26</v>
      </c>
      <c r="J66" s="49">
        <v>5</v>
      </c>
      <c r="K66" s="29" t="s">
        <v>27</v>
      </c>
      <c r="L66" s="47">
        <f>+(L65+L64+L62)*J66%</f>
        <v>2119.375</v>
      </c>
    </row>
    <row r="67" spans="2:13" x14ac:dyDescent="0.25">
      <c r="B67" s="44"/>
      <c r="C67" s="48" t="s">
        <v>42</v>
      </c>
      <c r="D67" s="40">
        <v>1</v>
      </c>
      <c r="E67" s="57">
        <f>+$E$56/D67</f>
        <v>5.5</v>
      </c>
      <c r="F67" s="40" t="s">
        <v>10</v>
      </c>
      <c r="G67" s="40" t="s">
        <v>14</v>
      </c>
      <c r="H67" s="40" t="s">
        <v>15</v>
      </c>
      <c r="I67" s="40" t="s">
        <v>15</v>
      </c>
      <c r="J67" s="56">
        <f>+D67/E67/D67</f>
        <v>0.18181818181818182</v>
      </c>
      <c r="K67" s="29">
        <f>+'Mat y mano obra'!D12</f>
        <v>6500</v>
      </c>
      <c r="L67" s="47">
        <f t="shared" ref="L67:L68" si="7">+K67*J67</f>
        <v>1181.8181818181818</v>
      </c>
    </row>
    <row r="68" spans="2:13" x14ac:dyDescent="0.25">
      <c r="B68" s="44"/>
      <c r="C68" s="48" t="s">
        <v>43</v>
      </c>
      <c r="D68" s="40"/>
      <c r="E68" s="57"/>
      <c r="F68" s="40"/>
      <c r="G68" s="40"/>
      <c r="H68" s="40"/>
      <c r="I68" s="40" t="s">
        <v>44</v>
      </c>
      <c r="J68" s="56">
        <v>0.7</v>
      </c>
      <c r="K68" s="58">
        <f>+'Mat y mano obra'!D24</f>
        <v>2560</v>
      </c>
      <c r="L68" s="47">
        <f t="shared" si="7"/>
        <v>1792</v>
      </c>
      <c r="M68" t="s">
        <v>58</v>
      </c>
    </row>
    <row r="69" spans="2:13" x14ac:dyDescent="0.25">
      <c r="B69" s="44"/>
      <c r="C69" s="39" t="s">
        <v>28</v>
      </c>
      <c r="D69" s="40"/>
      <c r="E69" s="57"/>
      <c r="F69" s="40"/>
      <c r="G69" s="40"/>
      <c r="H69" s="40"/>
      <c r="I69" s="40"/>
      <c r="J69" s="56"/>
      <c r="K69" s="29"/>
      <c r="L69" s="47"/>
    </row>
    <row r="70" spans="2:13" x14ac:dyDescent="0.25">
      <c r="B70" s="44"/>
      <c r="C70" s="39" t="s">
        <v>29</v>
      </c>
      <c r="D70" s="40"/>
      <c r="E70" s="57"/>
      <c r="F70" s="40"/>
      <c r="G70" s="40"/>
      <c r="H70" s="40"/>
      <c r="I70" s="40"/>
      <c r="J70" s="56"/>
      <c r="K70" s="29"/>
      <c r="L70" s="47"/>
    </row>
    <row r="71" spans="2:13" x14ac:dyDescent="0.25">
      <c r="B71" s="44"/>
      <c r="C71" s="48" t="s">
        <v>46</v>
      </c>
      <c r="D71" s="40">
        <v>1</v>
      </c>
      <c r="E71" s="57">
        <f>+$E$56/D71</f>
        <v>5.5</v>
      </c>
      <c r="F71" s="40" t="s">
        <v>10</v>
      </c>
      <c r="G71" s="40" t="s">
        <v>14</v>
      </c>
      <c r="H71" s="40" t="s">
        <v>35</v>
      </c>
      <c r="I71" s="40" t="s">
        <v>35</v>
      </c>
      <c r="J71" s="46">
        <f>+D71/E71/D71</f>
        <v>0.18181818181818182</v>
      </c>
      <c r="K71" s="290">
        <f>+'Mat y mano obra'!D5</f>
        <v>16492</v>
      </c>
      <c r="L71" s="47">
        <f>+K71*J71</f>
        <v>2998.5454545454545</v>
      </c>
    </row>
    <row r="72" spans="2:13" x14ac:dyDescent="0.25">
      <c r="B72" s="44"/>
      <c r="C72" s="48" t="s">
        <v>31</v>
      </c>
      <c r="D72" s="40">
        <v>2</v>
      </c>
      <c r="E72" s="57">
        <f>+$E$56/D72</f>
        <v>2.75</v>
      </c>
      <c r="F72" s="40" t="s">
        <v>10</v>
      </c>
      <c r="G72" s="40" t="s">
        <v>14</v>
      </c>
      <c r="H72" s="40" t="s">
        <v>35</v>
      </c>
      <c r="I72" s="40" t="s">
        <v>35</v>
      </c>
      <c r="J72" s="46">
        <f>+D72/E72/D72</f>
        <v>0.36363636363636365</v>
      </c>
      <c r="K72" s="290">
        <f>+'Mat y mano obra'!D7</f>
        <v>11846</v>
      </c>
      <c r="L72" s="47">
        <f t="shared" ref="L72:L79" si="8">+K72*J72</f>
        <v>4307.636363636364</v>
      </c>
    </row>
    <row r="73" spans="2:13" x14ac:dyDescent="0.25">
      <c r="B73" s="44"/>
      <c r="C73" s="45" t="s">
        <v>32</v>
      </c>
      <c r="D73" s="40"/>
      <c r="E73" s="57"/>
      <c r="F73" s="40"/>
      <c r="G73" s="40"/>
      <c r="H73" s="40"/>
      <c r="I73" s="40"/>
      <c r="J73" s="46"/>
      <c r="K73" s="290"/>
      <c r="L73" s="47">
        <f t="shared" si="8"/>
        <v>0</v>
      </c>
    </row>
    <row r="74" spans="2:13" x14ac:dyDescent="0.25">
      <c r="B74" s="44"/>
      <c r="C74" s="39" t="s">
        <v>45</v>
      </c>
      <c r="D74" s="40"/>
      <c r="E74" s="57"/>
      <c r="F74" s="40"/>
      <c r="G74" s="40"/>
      <c r="H74" s="40"/>
      <c r="I74" s="40"/>
      <c r="J74" s="46"/>
      <c r="K74" s="290"/>
      <c r="L74" s="47">
        <f t="shared" si="8"/>
        <v>0</v>
      </c>
    </row>
    <row r="75" spans="2:13" x14ac:dyDescent="0.25">
      <c r="B75" s="44"/>
      <c r="C75" s="48" t="s">
        <v>46</v>
      </c>
      <c r="D75" s="40">
        <v>1</v>
      </c>
      <c r="E75" s="57">
        <f t="shared" ref="E75:E77" si="9">+$E$56/D75</f>
        <v>5.5</v>
      </c>
      <c r="F75" s="40" t="s">
        <v>10</v>
      </c>
      <c r="G75" s="40" t="s">
        <v>14</v>
      </c>
      <c r="H75" s="40" t="s">
        <v>35</v>
      </c>
      <c r="I75" s="40" t="s">
        <v>35</v>
      </c>
      <c r="J75" s="46">
        <f t="shared" ref="J75:J77" si="10">+D75/E75/D75</f>
        <v>0.18181818181818182</v>
      </c>
      <c r="K75" s="290">
        <f>+'Mat y mano obra'!D5</f>
        <v>16492</v>
      </c>
      <c r="L75" s="47">
        <f t="shared" si="8"/>
        <v>2998.5454545454545</v>
      </c>
    </row>
    <row r="76" spans="2:13" x14ac:dyDescent="0.25">
      <c r="B76" s="44"/>
      <c r="C76" s="48" t="s">
        <v>53</v>
      </c>
      <c r="D76" s="40">
        <v>3</v>
      </c>
      <c r="E76" s="57">
        <f t="shared" si="9"/>
        <v>1.8333333333333333</v>
      </c>
      <c r="F76" s="40" t="s">
        <v>10</v>
      </c>
      <c r="G76" s="40" t="s">
        <v>14</v>
      </c>
      <c r="H76" s="40" t="s">
        <v>35</v>
      </c>
      <c r="I76" s="40" t="s">
        <v>35</v>
      </c>
      <c r="J76" s="46">
        <f t="shared" si="10"/>
        <v>0.54545454545454553</v>
      </c>
      <c r="K76" s="290">
        <f>+'Mat y mano obra'!D8</f>
        <v>10187</v>
      </c>
      <c r="L76" s="47">
        <f t="shared" si="8"/>
        <v>5556.545454545455</v>
      </c>
    </row>
    <row r="77" spans="2:13" x14ac:dyDescent="0.25">
      <c r="B77" s="44"/>
      <c r="C77" s="48" t="s">
        <v>47</v>
      </c>
      <c r="D77" s="40">
        <v>1</v>
      </c>
      <c r="E77" s="57">
        <f t="shared" si="9"/>
        <v>5.5</v>
      </c>
      <c r="F77" s="40" t="s">
        <v>10</v>
      </c>
      <c r="G77" s="40" t="s">
        <v>14</v>
      </c>
      <c r="H77" s="40" t="s">
        <v>35</v>
      </c>
      <c r="I77" s="40" t="s">
        <v>35</v>
      </c>
      <c r="J77" s="46">
        <f t="shared" si="10"/>
        <v>0.18181818181818182</v>
      </c>
      <c r="K77" s="290">
        <f>+'Mat y mano obra'!D8</f>
        <v>10187</v>
      </c>
      <c r="L77" s="47">
        <f t="shared" si="8"/>
        <v>1852.1818181818182</v>
      </c>
    </row>
    <row r="78" spans="2:13" x14ac:dyDescent="0.25">
      <c r="B78" s="44"/>
      <c r="C78" s="48" t="s">
        <v>48</v>
      </c>
      <c r="D78" s="40"/>
      <c r="E78" s="57"/>
      <c r="F78" s="40"/>
      <c r="G78" s="40"/>
      <c r="H78" s="40"/>
      <c r="I78" s="40"/>
      <c r="J78" s="46"/>
      <c r="K78" s="290"/>
      <c r="L78" s="47">
        <f t="shared" si="8"/>
        <v>0</v>
      </c>
    </row>
    <row r="79" spans="2:13" x14ac:dyDescent="0.25">
      <c r="B79" s="44"/>
      <c r="C79" s="48" t="s">
        <v>56</v>
      </c>
      <c r="D79" s="40">
        <v>0.5</v>
      </c>
      <c r="E79" s="57">
        <f>+$E$56/D79</f>
        <v>11</v>
      </c>
      <c r="F79" s="40" t="s">
        <v>10</v>
      </c>
      <c r="G79" s="40" t="s">
        <v>14</v>
      </c>
      <c r="H79" s="40" t="s">
        <v>15</v>
      </c>
      <c r="I79" s="40" t="s">
        <v>15</v>
      </c>
      <c r="J79" s="46">
        <f>+D79/E79/D79</f>
        <v>9.0909090909090912E-2</v>
      </c>
      <c r="K79" s="290">
        <f>+'Mat y mano obra'!D4</f>
        <v>21535</v>
      </c>
      <c r="L79" s="47">
        <f t="shared" si="8"/>
        <v>1957.7272727272727</v>
      </c>
    </row>
    <row r="80" spans="2:13" ht="15.75" thickBot="1" x14ac:dyDescent="0.3">
      <c r="B80" s="50"/>
      <c r="C80" s="51" t="s">
        <v>49</v>
      </c>
      <c r="D80" s="52"/>
      <c r="E80" s="52"/>
      <c r="F80" s="52"/>
      <c r="G80" s="52"/>
      <c r="H80" s="52"/>
      <c r="I80" s="52" t="s">
        <v>26</v>
      </c>
      <c r="J80" s="53">
        <v>57</v>
      </c>
      <c r="K80" s="54" t="s">
        <v>27</v>
      </c>
      <c r="L80" s="55">
        <f>+SUM(L71:L79)*J80%</f>
        <v>11212.573636363637</v>
      </c>
    </row>
    <row r="82" spans="2:12" ht="15.75" thickBot="1" x14ac:dyDescent="0.3"/>
    <row r="83" spans="2:12" ht="15.75" thickBot="1" x14ac:dyDescent="0.3">
      <c r="B83" s="1" t="s">
        <v>0</v>
      </c>
      <c r="C83" s="2" t="s">
        <v>1</v>
      </c>
      <c r="D83" s="3" t="s">
        <v>2</v>
      </c>
      <c r="E83" s="4" t="s">
        <v>3</v>
      </c>
      <c r="F83" s="618" t="s">
        <v>4</v>
      </c>
      <c r="G83" s="619"/>
      <c r="H83" s="620"/>
      <c r="I83" s="2" t="s">
        <v>5</v>
      </c>
      <c r="J83" s="2" t="s">
        <v>6</v>
      </c>
      <c r="K83" s="2" t="s">
        <v>7</v>
      </c>
      <c r="L83" s="31" t="s">
        <v>8</v>
      </c>
    </row>
    <row r="84" spans="2:12" x14ac:dyDescent="0.25">
      <c r="B84" s="32"/>
      <c r="C84" s="33" t="s">
        <v>201</v>
      </c>
      <c r="D84" s="34"/>
      <c r="E84" s="59">
        <f>+rendimiento!C8</f>
        <v>5.5</v>
      </c>
      <c r="F84" s="34"/>
      <c r="G84" s="34"/>
      <c r="H84" s="34"/>
      <c r="I84" s="35" t="s">
        <v>10</v>
      </c>
      <c r="J84" s="35">
        <v>1</v>
      </c>
      <c r="K84" s="36"/>
      <c r="L84" s="37">
        <f>+SUM(L85:L108)</f>
        <v>86962.864545454562</v>
      </c>
    </row>
    <row r="85" spans="2:12" x14ac:dyDescent="0.25">
      <c r="B85" s="38"/>
      <c r="C85" s="39" t="s">
        <v>51</v>
      </c>
      <c r="D85" s="40"/>
      <c r="E85" s="40"/>
      <c r="F85" s="40"/>
      <c r="G85" s="40"/>
      <c r="H85" s="40"/>
      <c r="I85" s="41"/>
      <c r="J85" s="41"/>
      <c r="K85" s="29"/>
      <c r="L85" s="43"/>
    </row>
    <row r="86" spans="2:12" x14ac:dyDescent="0.25">
      <c r="B86" s="44"/>
      <c r="C86" s="45" t="s">
        <v>12</v>
      </c>
      <c r="D86" s="40"/>
      <c r="E86" s="40"/>
      <c r="F86" s="40"/>
      <c r="G86" s="40"/>
      <c r="H86" s="40"/>
      <c r="I86" s="40"/>
      <c r="J86" s="40"/>
      <c r="K86" s="29"/>
      <c r="L86" s="47"/>
    </row>
    <row r="87" spans="2:12" x14ac:dyDescent="0.25">
      <c r="B87" s="44"/>
      <c r="C87" s="48" t="s">
        <v>13</v>
      </c>
      <c r="D87" s="40">
        <v>1</v>
      </c>
      <c r="E87" s="40">
        <f>+E84</f>
        <v>5.5</v>
      </c>
      <c r="F87" s="40" t="s">
        <v>10</v>
      </c>
      <c r="G87" s="40" t="s">
        <v>14</v>
      </c>
      <c r="H87" s="40" t="s">
        <v>15</v>
      </c>
      <c r="I87" s="40" t="s">
        <v>15</v>
      </c>
      <c r="J87" s="56">
        <f t="shared" ref="J87:J88" si="11">+D87/E87/D87</f>
        <v>0.18181818181818182</v>
      </c>
      <c r="K87" s="29">
        <f>+'Mat y mano obra'!D10</f>
        <v>9500</v>
      </c>
      <c r="L87" s="47">
        <f>+K87*J87</f>
        <v>1727.2727272727273</v>
      </c>
    </row>
    <row r="88" spans="2:12" x14ac:dyDescent="0.25">
      <c r="B88" s="44"/>
      <c r="C88" s="48" t="s">
        <v>16</v>
      </c>
      <c r="D88" s="40">
        <v>1</v>
      </c>
      <c r="E88" s="40">
        <f>+E84</f>
        <v>5.5</v>
      </c>
      <c r="F88" s="40" t="s">
        <v>10</v>
      </c>
      <c r="G88" s="40" t="s">
        <v>14</v>
      </c>
      <c r="H88" s="40" t="s">
        <v>15</v>
      </c>
      <c r="I88" s="40" t="s">
        <v>15</v>
      </c>
      <c r="J88" s="56">
        <f t="shared" si="11"/>
        <v>0.18181818181818182</v>
      </c>
      <c r="K88" s="29">
        <f>+'Mat y mano obra'!D11</f>
        <v>14200</v>
      </c>
      <c r="L88" s="47">
        <f>+K88*J88</f>
        <v>2581.818181818182</v>
      </c>
    </row>
    <row r="89" spans="2:12" x14ac:dyDescent="0.25">
      <c r="B89" s="44"/>
      <c r="C89" s="48" t="s">
        <v>17</v>
      </c>
      <c r="D89" s="40"/>
      <c r="E89" s="40"/>
      <c r="F89" s="40"/>
      <c r="G89" s="40"/>
      <c r="H89" s="40"/>
      <c r="I89" s="40" t="s">
        <v>18</v>
      </c>
      <c r="J89" s="56">
        <v>0.75</v>
      </c>
      <c r="K89" s="58">
        <f>+'Mat y mano obra'!D20</f>
        <v>950</v>
      </c>
      <c r="L89" s="47">
        <f t="shared" ref="L89:L93" si="12">+K89*J89</f>
        <v>712.5</v>
      </c>
    </row>
    <row r="90" spans="2:12" x14ac:dyDescent="0.25">
      <c r="B90" s="44"/>
      <c r="C90" s="48" t="s">
        <v>52</v>
      </c>
      <c r="D90" s="40"/>
      <c r="E90" s="40"/>
      <c r="F90" s="40"/>
      <c r="G90" s="40"/>
      <c r="H90" s="40"/>
      <c r="I90" s="40" t="s">
        <v>22</v>
      </c>
      <c r="J90" s="332">
        <v>11</v>
      </c>
      <c r="K90" s="58">
        <f>+'Mat y mano obra'!D23+6.25*'APU DT-18'!C13</f>
        <v>3475</v>
      </c>
      <c r="L90" s="47">
        <f t="shared" si="12"/>
        <v>38225</v>
      </c>
    </row>
    <row r="91" spans="2:12" x14ac:dyDescent="0.25">
      <c r="B91" s="44"/>
      <c r="C91" s="48" t="s">
        <v>23</v>
      </c>
      <c r="D91" s="40"/>
      <c r="E91" s="40"/>
      <c r="F91" s="40"/>
      <c r="G91" s="40"/>
      <c r="H91" s="40"/>
      <c r="I91" s="40" t="s">
        <v>24</v>
      </c>
      <c r="J91" s="56">
        <v>6.3E-2</v>
      </c>
      <c r="K91" s="29"/>
      <c r="L91" s="47">
        <f t="shared" si="12"/>
        <v>0</v>
      </c>
    </row>
    <row r="92" spans="2:12" x14ac:dyDescent="0.25">
      <c r="B92" s="44"/>
      <c r="C92" s="48" t="s">
        <v>19</v>
      </c>
      <c r="D92" s="40"/>
      <c r="E92" s="57"/>
      <c r="F92" s="40"/>
      <c r="G92" s="40"/>
      <c r="H92" s="40"/>
      <c r="I92" s="40" t="s">
        <v>10</v>
      </c>
      <c r="J92" s="332">
        <v>0.77</v>
      </c>
      <c r="K92" s="29">
        <f>+'APU DT-18'!C13*'APU DT-18'!C14+'Mat y mano obra'!D21</f>
        <v>6200</v>
      </c>
      <c r="L92" s="47">
        <f t="shared" si="12"/>
        <v>4774</v>
      </c>
    </row>
    <row r="93" spans="2:12" x14ac:dyDescent="0.25">
      <c r="B93" s="44"/>
      <c r="C93" s="48" t="s">
        <v>20</v>
      </c>
      <c r="D93" s="40"/>
      <c r="E93" s="57"/>
      <c r="F93" s="40"/>
      <c r="G93" s="40"/>
      <c r="H93" s="40"/>
      <c r="I93" s="40" t="s">
        <v>10</v>
      </c>
      <c r="J93" s="332">
        <v>0.43</v>
      </c>
      <c r="K93" s="29">
        <f>+'Mat y mano obra'!D22+'APU DT-18'!C14*'APU DT-18'!C13</f>
        <v>6500</v>
      </c>
      <c r="L93" s="47">
        <f t="shared" si="12"/>
        <v>2795</v>
      </c>
    </row>
    <row r="94" spans="2:12" x14ac:dyDescent="0.25">
      <c r="B94" s="44"/>
      <c r="C94" s="48" t="s">
        <v>25</v>
      </c>
      <c r="D94" s="40"/>
      <c r="E94" s="57"/>
      <c r="F94" s="40"/>
      <c r="G94" s="40"/>
      <c r="H94" s="40"/>
      <c r="I94" s="40" t="s">
        <v>26</v>
      </c>
      <c r="J94" s="49">
        <v>5</v>
      </c>
      <c r="K94" s="29" t="s">
        <v>27</v>
      </c>
      <c r="L94" s="47">
        <f>+(L93+L92+L90)*J94%</f>
        <v>2289.7000000000003</v>
      </c>
    </row>
    <row r="95" spans="2:12" x14ac:dyDescent="0.25">
      <c r="B95" s="44"/>
      <c r="C95" s="48" t="s">
        <v>42</v>
      </c>
      <c r="D95" s="40">
        <v>1</v>
      </c>
      <c r="E95" s="57">
        <f>+E84</f>
        <v>5.5</v>
      </c>
      <c r="F95" s="40" t="s">
        <v>10</v>
      </c>
      <c r="G95" s="40" t="s">
        <v>14</v>
      </c>
      <c r="H95" s="40" t="s">
        <v>15</v>
      </c>
      <c r="I95" s="40" t="s">
        <v>15</v>
      </c>
      <c r="J95" s="56">
        <f>+D95/E95/D95</f>
        <v>0.18181818181818182</v>
      </c>
      <c r="K95" s="29">
        <f>+'Mat y mano obra'!D12</f>
        <v>6500</v>
      </c>
      <c r="L95" s="47">
        <f t="shared" ref="L95:L96" si="13">+K95*J95</f>
        <v>1181.8181818181818</v>
      </c>
    </row>
    <row r="96" spans="2:12" x14ac:dyDescent="0.25">
      <c r="B96" s="44"/>
      <c r="C96" s="48" t="s">
        <v>43</v>
      </c>
      <c r="D96" s="40"/>
      <c r="E96" s="57"/>
      <c r="F96" s="40"/>
      <c r="G96" s="40"/>
      <c r="H96" s="40"/>
      <c r="I96" s="40" t="s">
        <v>44</v>
      </c>
      <c r="J96" s="56">
        <v>0.7</v>
      </c>
      <c r="K96" s="58">
        <f>+'Mat y mano obra'!D24</f>
        <v>2560</v>
      </c>
      <c r="L96" s="47">
        <f t="shared" si="13"/>
        <v>1792</v>
      </c>
    </row>
    <row r="97" spans="2:12" x14ac:dyDescent="0.25">
      <c r="B97" s="44"/>
      <c r="C97" s="39" t="s">
        <v>28</v>
      </c>
      <c r="D97" s="40"/>
      <c r="E97" s="57"/>
      <c r="F97" s="40"/>
      <c r="G97" s="40"/>
      <c r="H97" s="40"/>
      <c r="I97" s="40"/>
      <c r="J97" s="56"/>
      <c r="K97" s="29"/>
      <c r="L97" s="47"/>
    </row>
    <row r="98" spans="2:12" x14ac:dyDescent="0.25">
      <c r="B98" s="44"/>
      <c r="C98" s="39" t="s">
        <v>29</v>
      </c>
      <c r="D98" s="40"/>
      <c r="E98" s="57"/>
      <c r="F98" s="40"/>
      <c r="G98" s="40"/>
      <c r="H98" s="40"/>
      <c r="I98" s="40"/>
      <c r="J98" s="56"/>
      <c r="K98" s="29"/>
      <c r="L98" s="47"/>
    </row>
    <row r="99" spans="2:12" x14ac:dyDescent="0.25">
      <c r="B99" s="44"/>
      <c r="C99" s="48" t="s">
        <v>46</v>
      </c>
      <c r="D99" s="40">
        <v>1</v>
      </c>
      <c r="E99" s="57">
        <f>+E84</f>
        <v>5.5</v>
      </c>
      <c r="F99" s="40" t="s">
        <v>10</v>
      </c>
      <c r="G99" s="40" t="s">
        <v>14</v>
      </c>
      <c r="H99" s="40" t="s">
        <v>35</v>
      </c>
      <c r="I99" s="40" t="s">
        <v>35</v>
      </c>
      <c r="J99" s="46">
        <f>+D99/E99/D99</f>
        <v>0.18181818181818182</v>
      </c>
      <c r="K99" s="290">
        <f>+'Mat y mano obra'!D5</f>
        <v>16492</v>
      </c>
      <c r="L99" s="47">
        <f>+K99*J99</f>
        <v>2998.5454545454545</v>
      </c>
    </row>
    <row r="100" spans="2:12" x14ac:dyDescent="0.25">
      <c r="B100" s="44"/>
      <c r="C100" s="48" t="s">
        <v>31</v>
      </c>
      <c r="D100" s="40">
        <v>2</v>
      </c>
      <c r="E100" s="57">
        <f>+E84/D100</f>
        <v>2.75</v>
      </c>
      <c r="F100" s="40" t="s">
        <v>10</v>
      </c>
      <c r="G100" s="40" t="s">
        <v>14</v>
      </c>
      <c r="H100" s="40" t="s">
        <v>35</v>
      </c>
      <c r="I100" s="40" t="s">
        <v>35</v>
      </c>
      <c r="J100" s="46">
        <f>+D100/E100/D100</f>
        <v>0.36363636363636365</v>
      </c>
      <c r="K100" s="290">
        <f>+'Mat y mano obra'!D7</f>
        <v>11846</v>
      </c>
      <c r="L100" s="47">
        <f t="shared" ref="L100:L107" si="14">+K100*J100</f>
        <v>4307.636363636364</v>
      </c>
    </row>
    <row r="101" spans="2:12" x14ac:dyDescent="0.25">
      <c r="B101" s="44"/>
      <c r="C101" s="45" t="s">
        <v>32</v>
      </c>
      <c r="D101" s="40"/>
      <c r="E101" s="57"/>
      <c r="F101" s="40"/>
      <c r="G101" s="40"/>
      <c r="H101" s="40"/>
      <c r="I101" s="40"/>
      <c r="J101" s="46"/>
      <c r="K101" s="290"/>
      <c r="L101" s="47">
        <f t="shared" si="14"/>
        <v>0</v>
      </c>
    </row>
    <row r="102" spans="2:12" x14ac:dyDescent="0.25">
      <c r="B102" s="44"/>
      <c r="C102" s="39" t="s">
        <v>45</v>
      </c>
      <c r="D102" s="40"/>
      <c r="E102" s="57"/>
      <c r="F102" s="40"/>
      <c r="G102" s="40"/>
      <c r="H102" s="40"/>
      <c r="I102" s="40"/>
      <c r="J102" s="46"/>
      <c r="K102" s="290"/>
      <c r="L102" s="47">
        <f t="shared" si="14"/>
        <v>0</v>
      </c>
    </row>
    <row r="103" spans="2:12" x14ac:dyDescent="0.25">
      <c r="B103" s="44"/>
      <c r="C103" s="48" t="s">
        <v>46</v>
      </c>
      <c r="D103" s="40">
        <v>1</v>
      </c>
      <c r="E103" s="57">
        <f>+E84</f>
        <v>5.5</v>
      </c>
      <c r="F103" s="40" t="s">
        <v>10</v>
      </c>
      <c r="G103" s="40" t="s">
        <v>14</v>
      </c>
      <c r="H103" s="40" t="s">
        <v>35</v>
      </c>
      <c r="I103" s="40" t="s">
        <v>35</v>
      </c>
      <c r="J103" s="46">
        <f t="shared" ref="J103:J105" si="15">+D103/E103/D103</f>
        <v>0.18181818181818182</v>
      </c>
      <c r="K103" s="290">
        <f>+'Mat y mano obra'!D5</f>
        <v>16492</v>
      </c>
      <c r="L103" s="47">
        <f t="shared" si="14"/>
        <v>2998.5454545454545</v>
      </c>
    </row>
    <row r="104" spans="2:12" x14ac:dyDescent="0.25">
      <c r="B104" s="44"/>
      <c r="C104" s="48" t="s">
        <v>53</v>
      </c>
      <c r="D104" s="40">
        <v>3</v>
      </c>
      <c r="E104" s="57">
        <f>+E84/D104</f>
        <v>1.8333333333333333</v>
      </c>
      <c r="F104" s="40" t="s">
        <v>10</v>
      </c>
      <c r="G104" s="40" t="s">
        <v>14</v>
      </c>
      <c r="H104" s="40" t="s">
        <v>35</v>
      </c>
      <c r="I104" s="40" t="s">
        <v>35</v>
      </c>
      <c r="J104" s="46">
        <f t="shared" si="15"/>
        <v>0.54545454545454553</v>
      </c>
      <c r="K104" s="290">
        <f>+'Mat y mano obra'!D8</f>
        <v>10187</v>
      </c>
      <c r="L104" s="47">
        <f t="shared" si="14"/>
        <v>5556.545454545455</v>
      </c>
    </row>
    <row r="105" spans="2:12" x14ac:dyDescent="0.25">
      <c r="B105" s="44"/>
      <c r="C105" s="48" t="s">
        <v>47</v>
      </c>
      <c r="D105" s="40">
        <v>1</v>
      </c>
      <c r="E105" s="57">
        <f>+E84</f>
        <v>5.5</v>
      </c>
      <c r="F105" s="40" t="s">
        <v>10</v>
      </c>
      <c r="G105" s="40" t="s">
        <v>14</v>
      </c>
      <c r="H105" s="40" t="s">
        <v>35</v>
      </c>
      <c r="I105" s="40" t="s">
        <v>35</v>
      </c>
      <c r="J105" s="46">
        <f t="shared" si="15"/>
        <v>0.18181818181818182</v>
      </c>
      <c r="K105" s="290">
        <f>+'Mat y mano obra'!D8</f>
        <v>10187</v>
      </c>
      <c r="L105" s="47">
        <f t="shared" si="14"/>
        <v>1852.1818181818182</v>
      </c>
    </row>
    <row r="106" spans="2:12" x14ac:dyDescent="0.25">
      <c r="B106" s="44"/>
      <c r="C106" s="48" t="s">
        <v>48</v>
      </c>
      <c r="D106" s="40"/>
      <c r="E106" s="57"/>
      <c r="F106" s="40"/>
      <c r="G106" s="40"/>
      <c r="H106" s="40"/>
      <c r="I106" s="40"/>
      <c r="J106" s="46"/>
      <c r="K106" s="290"/>
      <c r="L106" s="47">
        <f t="shared" si="14"/>
        <v>0</v>
      </c>
    </row>
    <row r="107" spans="2:12" x14ac:dyDescent="0.25">
      <c r="B107" s="44"/>
      <c r="C107" s="48" t="s">
        <v>56</v>
      </c>
      <c r="D107" s="40">
        <v>0.5</v>
      </c>
      <c r="E107" s="57">
        <f>+E84/D107</f>
        <v>11</v>
      </c>
      <c r="F107" s="40" t="s">
        <v>10</v>
      </c>
      <c r="G107" s="40" t="s">
        <v>14</v>
      </c>
      <c r="H107" s="40" t="s">
        <v>15</v>
      </c>
      <c r="I107" s="40" t="s">
        <v>15</v>
      </c>
      <c r="J107" s="46">
        <f>+D107/E107/D107</f>
        <v>9.0909090909090912E-2</v>
      </c>
      <c r="K107" s="290">
        <f>+'Mat y mano obra'!D4</f>
        <v>21535</v>
      </c>
      <c r="L107" s="47">
        <f t="shared" si="14"/>
        <v>1957.7272727272727</v>
      </c>
    </row>
    <row r="108" spans="2:12" ht="15.75" thickBot="1" x14ac:dyDescent="0.3">
      <c r="B108" s="50"/>
      <c r="C108" s="51" t="s">
        <v>49</v>
      </c>
      <c r="D108" s="52"/>
      <c r="E108" s="52"/>
      <c r="F108" s="52"/>
      <c r="G108" s="52"/>
      <c r="H108" s="52"/>
      <c r="I108" s="52" t="s">
        <v>26</v>
      </c>
      <c r="J108" s="53">
        <v>57</v>
      </c>
      <c r="K108" s="54" t="s">
        <v>27</v>
      </c>
      <c r="L108" s="55">
        <f>+SUM(L99:L107)*J108%</f>
        <v>11212.573636363637</v>
      </c>
    </row>
  </sheetData>
  <mergeCells count="3">
    <mergeCell ref="F3:H3"/>
    <mergeCell ref="F55:H55"/>
    <mergeCell ref="F83:H83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O182"/>
  <sheetViews>
    <sheetView workbookViewId="0">
      <selection activeCell="K175" sqref="K175"/>
    </sheetView>
  </sheetViews>
  <sheetFormatPr baseColWidth="10" defaultRowHeight="15" x14ac:dyDescent="0.25"/>
  <cols>
    <col min="2" max="2" width="5.28515625" bestFit="1" customWidth="1"/>
    <col min="3" max="3" width="36.140625" bestFit="1" customWidth="1"/>
    <col min="4" max="4" width="5.42578125" bestFit="1" customWidth="1"/>
    <col min="5" max="5" width="5.7109375" bestFit="1" customWidth="1"/>
    <col min="6" max="6" width="2.85546875" bestFit="1" customWidth="1"/>
    <col min="7" max="7" width="1.5703125" bestFit="1" customWidth="1"/>
    <col min="8" max="8" width="6.140625" bestFit="1" customWidth="1"/>
    <col min="9" max="9" width="7.85546875" bestFit="1" customWidth="1"/>
    <col min="10" max="10" width="10.42578125" bestFit="1" customWidth="1"/>
    <col min="11" max="11" width="5.7109375" bestFit="1" customWidth="1"/>
    <col min="12" max="12" width="9.5703125" bestFit="1" customWidth="1"/>
  </cols>
  <sheetData>
    <row r="1" spans="1:15" x14ac:dyDescent="0.25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5"/>
    </row>
    <row r="2" spans="1:15" ht="15.75" thickBot="1" x14ac:dyDescent="0.3">
      <c r="A2" s="176"/>
      <c r="O2" s="177"/>
    </row>
    <row r="3" spans="1:15" ht="15.75" thickBot="1" x14ac:dyDescent="0.3">
      <c r="A3" s="176"/>
      <c r="B3" s="66" t="s">
        <v>0</v>
      </c>
      <c r="C3" s="67" t="s">
        <v>1</v>
      </c>
      <c r="D3" s="68"/>
      <c r="E3" s="68"/>
      <c r="F3" s="68"/>
      <c r="G3" s="68"/>
      <c r="H3" s="68"/>
      <c r="I3" s="67" t="s">
        <v>5</v>
      </c>
      <c r="J3" s="67" t="s">
        <v>6</v>
      </c>
      <c r="K3" s="67" t="s">
        <v>7</v>
      </c>
      <c r="L3" s="69" t="s">
        <v>8</v>
      </c>
      <c r="O3" s="177"/>
    </row>
    <row r="4" spans="1:15" ht="15.75" thickBot="1" x14ac:dyDescent="0.3">
      <c r="A4" s="176"/>
      <c r="B4" s="70"/>
      <c r="C4" s="71" t="s">
        <v>61</v>
      </c>
      <c r="D4" s="99" t="s">
        <v>2</v>
      </c>
      <c r="E4" s="100" t="s">
        <v>3</v>
      </c>
      <c r="F4" s="621" t="s">
        <v>4</v>
      </c>
      <c r="G4" s="622"/>
      <c r="H4" s="623"/>
      <c r="I4" s="72" t="s">
        <v>44</v>
      </c>
      <c r="J4" s="72">
        <v>1</v>
      </c>
      <c r="K4" s="65"/>
      <c r="L4" s="168">
        <f>+SUM(L6:L14)</f>
        <v>1072.3729090909092</v>
      </c>
      <c r="O4" s="177"/>
    </row>
    <row r="5" spans="1:15" x14ac:dyDescent="0.25">
      <c r="A5" s="176"/>
      <c r="B5" s="74"/>
      <c r="C5" s="75" t="s">
        <v>62</v>
      </c>
      <c r="D5" s="76"/>
      <c r="E5" s="185">
        <f>+rendimiento!D9</f>
        <v>110</v>
      </c>
      <c r="F5" s="76"/>
      <c r="G5" s="76"/>
      <c r="H5" s="76"/>
      <c r="I5" s="77"/>
      <c r="J5" s="77"/>
      <c r="K5" s="164"/>
      <c r="L5" s="169"/>
      <c r="O5" s="177"/>
    </row>
    <row r="6" spans="1:15" x14ac:dyDescent="0.25">
      <c r="A6" s="176"/>
      <c r="B6" s="80"/>
      <c r="C6" s="81" t="s">
        <v>74</v>
      </c>
      <c r="D6" s="82"/>
      <c r="E6" s="82"/>
      <c r="F6" s="82"/>
      <c r="G6" s="82"/>
      <c r="H6" s="82"/>
      <c r="I6" s="82" t="s">
        <v>44</v>
      </c>
      <c r="J6" s="82">
        <v>1.1000000000000001</v>
      </c>
      <c r="K6" s="165">
        <f>0.33*J6*'APU DT-18'!C13+'Mat y mano obra'!C25</f>
        <v>512</v>
      </c>
      <c r="L6" s="170">
        <f>+K6*J6</f>
        <v>563.20000000000005</v>
      </c>
      <c r="O6" s="177"/>
    </row>
    <row r="7" spans="1:15" x14ac:dyDescent="0.25">
      <c r="A7" s="176"/>
      <c r="B7" s="80"/>
      <c r="C7" s="81" t="s">
        <v>64</v>
      </c>
      <c r="D7" s="82"/>
      <c r="E7" s="82"/>
      <c r="F7" s="82"/>
      <c r="G7" s="82"/>
      <c r="H7" s="82"/>
      <c r="I7" s="163" t="s">
        <v>44</v>
      </c>
      <c r="J7" s="163">
        <v>0.01</v>
      </c>
      <c r="K7" s="166">
        <f>+'Mat y mano obra'!C27</f>
        <v>872</v>
      </c>
      <c r="L7" s="170">
        <f t="shared" ref="L7:L13" si="0">+K7*J7</f>
        <v>8.7200000000000006</v>
      </c>
      <c r="O7" s="177"/>
    </row>
    <row r="8" spans="1:15" x14ac:dyDescent="0.25">
      <c r="A8" s="176"/>
      <c r="B8" s="80"/>
      <c r="C8" s="81" t="s">
        <v>28</v>
      </c>
      <c r="D8" s="82"/>
      <c r="E8" s="82"/>
      <c r="F8" s="82"/>
      <c r="G8" s="82"/>
      <c r="H8" s="82"/>
      <c r="I8" s="82"/>
      <c r="J8" s="82"/>
      <c r="K8" s="165"/>
      <c r="L8" s="170"/>
      <c r="O8" s="177"/>
    </row>
    <row r="9" spans="1:15" x14ac:dyDescent="0.25">
      <c r="A9" s="176"/>
      <c r="B9" s="80"/>
      <c r="C9" s="85" t="s">
        <v>65</v>
      </c>
      <c r="D9" s="82"/>
      <c r="E9" s="82"/>
      <c r="F9" s="82"/>
      <c r="G9" s="82"/>
      <c r="H9" s="82"/>
      <c r="I9" s="82"/>
      <c r="J9" s="82"/>
      <c r="K9" s="165"/>
      <c r="L9" s="170"/>
      <c r="O9" s="177"/>
    </row>
    <row r="10" spans="1:15" x14ac:dyDescent="0.25">
      <c r="A10" s="176"/>
      <c r="B10" s="80"/>
      <c r="C10" s="81" t="s">
        <v>66</v>
      </c>
      <c r="D10" s="82">
        <v>1</v>
      </c>
      <c r="E10" s="82">
        <f>+E5</f>
        <v>110</v>
      </c>
      <c r="F10" s="82" t="s">
        <v>44</v>
      </c>
      <c r="G10" s="82" t="s">
        <v>14</v>
      </c>
      <c r="H10" s="82" t="s">
        <v>35</v>
      </c>
      <c r="I10" s="82" t="s">
        <v>35</v>
      </c>
      <c r="J10" s="91">
        <f>+D10/E10/D10</f>
        <v>9.0909090909090905E-3</v>
      </c>
      <c r="K10" s="165">
        <f>+'Mat y mano obra'!C5</f>
        <v>14806</v>
      </c>
      <c r="L10" s="170">
        <f t="shared" si="0"/>
        <v>134.6</v>
      </c>
      <c r="O10" s="177"/>
    </row>
    <row r="11" spans="1:15" x14ac:dyDescent="0.25">
      <c r="A11" s="176"/>
      <c r="B11" s="80"/>
      <c r="C11" s="81" t="s">
        <v>67</v>
      </c>
      <c r="D11" s="82">
        <v>1</v>
      </c>
      <c r="E11" s="82">
        <f>+E5</f>
        <v>110</v>
      </c>
      <c r="F11" s="82" t="s">
        <v>44</v>
      </c>
      <c r="G11" s="82" t="s">
        <v>14</v>
      </c>
      <c r="H11" s="82" t="s">
        <v>35</v>
      </c>
      <c r="I11" s="82" t="s">
        <v>35</v>
      </c>
      <c r="J11" s="91">
        <f>+D11/E11/D11</f>
        <v>9.0909090909090905E-3</v>
      </c>
      <c r="K11" s="165">
        <f>+'Mat y mano obra'!C7</f>
        <v>11846</v>
      </c>
      <c r="L11" s="170">
        <f t="shared" si="0"/>
        <v>107.69090909090909</v>
      </c>
      <c r="O11" s="177"/>
    </row>
    <row r="12" spans="1:15" x14ac:dyDescent="0.25">
      <c r="A12" s="176"/>
      <c r="B12" s="80"/>
      <c r="C12" s="81" t="s">
        <v>68</v>
      </c>
      <c r="D12" s="82"/>
      <c r="E12" s="82"/>
      <c r="F12" s="82"/>
      <c r="G12" s="82"/>
      <c r="H12" s="82"/>
      <c r="I12" s="82" t="s">
        <v>26</v>
      </c>
      <c r="J12" s="172">
        <v>10</v>
      </c>
      <c r="K12" s="165"/>
      <c r="L12" s="170">
        <f>+SUM(L10:L11)*J12%</f>
        <v>24.22909090909091</v>
      </c>
      <c r="O12" s="177"/>
    </row>
    <row r="13" spans="1:15" x14ac:dyDescent="0.25">
      <c r="A13" s="176"/>
      <c r="B13" s="80"/>
      <c r="C13" s="81" t="s">
        <v>69</v>
      </c>
      <c r="D13" s="82">
        <v>3</v>
      </c>
      <c r="E13" s="82">
        <f>+D13*E5</f>
        <v>330</v>
      </c>
      <c r="F13" s="82" t="s">
        <v>44</v>
      </c>
      <c r="G13" s="82" t="s">
        <v>14</v>
      </c>
      <c r="H13" s="82" t="s">
        <v>15</v>
      </c>
      <c r="I13" s="82" t="s">
        <v>15</v>
      </c>
      <c r="J13" s="91">
        <f>+D13/E13/D13</f>
        <v>3.0303030303030303E-3</v>
      </c>
      <c r="K13" s="165">
        <f>+'Mat y mano obra'!C4</f>
        <v>20142</v>
      </c>
      <c r="L13" s="170">
        <f t="shared" si="0"/>
        <v>61.036363636363639</v>
      </c>
      <c r="O13" s="177"/>
    </row>
    <row r="14" spans="1:15" ht="15.75" thickBot="1" x14ac:dyDescent="0.3">
      <c r="A14" s="176"/>
      <c r="B14" s="86"/>
      <c r="C14" s="87" t="s">
        <v>49</v>
      </c>
      <c r="D14" s="88"/>
      <c r="E14" s="88"/>
      <c r="F14" s="88"/>
      <c r="G14" s="88"/>
      <c r="H14" s="88"/>
      <c r="I14" s="88" t="s">
        <v>26</v>
      </c>
      <c r="J14" s="88">
        <v>57</v>
      </c>
      <c r="K14" s="167" t="s">
        <v>27</v>
      </c>
      <c r="L14" s="171">
        <f>+(L10+L11+L13)*J14%</f>
        <v>172.89654545454542</v>
      </c>
      <c r="O14" s="177"/>
    </row>
    <row r="15" spans="1:15" x14ac:dyDescent="0.25">
      <c r="A15" s="176"/>
      <c r="O15" s="177"/>
    </row>
    <row r="16" spans="1:15" ht="15.75" thickBot="1" x14ac:dyDescent="0.3">
      <c r="A16" s="176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177"/>
    </row>
    <row r="17" spans="1:15" x14ac:dyDescent="0.25">
      <c r="A17" s="176"/>
      <c r="B17" s="66" t="s">
        <v>0</v>
      </c>
      <c r="C17" s="67" t="s">
        <v>1</v>
      </c>
      <c r="D17" s="68"/>
      <c r="E17" s="68"/>
      <c r="F17" s="68"/>
      <c r="G17" s="68"/>
      <c r="H17" s="68"/>
      <c r="I17" s="67" t="s">
        <v>5</v>
      </c>
      <c r="J17" s="67" t="s">
        <v>6</v>
      </c>
      <c r="K17" s="67" t="s">
        <v>7</v>
      </c>
      <c r="L17" s="69" t="s">
        <v>8</v>
      </c>
      <c r="O17" s="177"/>
    </row>
    <row r="18" spans="1:15" ht="15.75" thickBot="1" x14ac:dyDescent="0.3">
      <c r="A18" s="176"/>
      <c r="B18" s="70"/>
      <c r="C18" s="71" t="s">
        <v>70</v>
      </c>
      <c r="D18" s="64"/>
      <c r="E18" s="64"/>
      <c r="F18" s="64"/>
      <c r="G18" s="64"/>
      <c r="H18" s="64"/>
      <c r="I18" s="72" t="s">
        <v>44</v>
      </c>
      <c r="J18" s="72">
        <v>1</v>
      </c>
      <c r="K18" s="65"/>
      <c r="L18" s="73">
        <f>+SUM(L20:L28)</f>
        <v>1122.4182000000001</v>
      </c>
      <c r="O18" s="177"/>
    </row>
    <row r="19" spans="1:15" x14ac:dyDescent="0.25">
      <c r="A19" s="176"/>
      <c r="B19" s="74"/>
      <c r="C19" s="75" t="s">
        <v>62</v>
      </c>
      <c r="D19" s="76"/>
      <c r="E19" s="185">
        <f>+rendimiento!D10</f>
        <v>100</v>
      </c>
      <c r="F19" s="76"/>
      <c r="G19" s="76"/>
      <c r="H19" s="76"/>
      <c r="I19" s="77"/>
      <c r="J19" s="77"/>
      <c r="K19" s="78"/>
      <c r="L19" s="79"/>
      <c r="O19" s="177"/>
    </row>
    <row r="20" spans="1:15" x14ac:dyDescent="0.25">
      <c r="A20" s="176"/>
      <c r="B20" s="80"/>
      <c r="C20" s="81" t="s">
        <v>63</v>
      </c>
      <c r="D20" s="82"/>
      <c r="E20" s="82"/>
      <c r="F20" s="82"/>
      <c r="G20" s="82"/>
      <c r="H20" s="82"/>
      <c r="I20" s="82" t="s">
        <v>44</v>
      </c>
      <c r="J20" s="82">
        <v>1.1000000000000001</v>
      </c>
      <c r="K20" s="83">
        <f>+J20*0.33*'APU DT-18'!C13+'Mat y mano obra'!C25</f>
        <v>512</v>
      </c>
      <c r="L20" s="84">
        <f>+K20*J20</f>
        <v>563.20000000000005</v>
      </c>
      <c r="O20" s="177"/>
    </row>
    <row r="21" spans="1:15" x14ac:dyDescent="0.25">
      <c r="A21" s="176"/>
      <c r="B21" s="80"/>
      <c r="C21" s="81" t="s">
        <v>64</v>
      </c>
      <c r="D21" s="82"/>
      <c r="E21" s="82"/>
      <c r="F21" s="82"/>
      <c r="G21" s="82"/>
      <c r="H21" s="82"/>
      <c r="I21" s="163" t="s">
        <v>44</v>
      </c>
      <c r="J21" s="163">
        <v>0.01</v>
      </c>
      <c r="K21" s="162">
        <f>+'Mat y mano obra'!C27</f>
        <v>872</v>
      </c>
      <c r="L21" s="84">
        <f t="shared" ref="L21:L27" si="1">+K21*J21</f>
        <v>8.7200000000000006</v>
      </c>
      <c r="O21" s="177"/>
    </row>
    <row r="22" spans="1:15" x14ac:dyDescent="0.25">
      <c r="A22" s="176"/>
      <c r="B22" s="80"/>
      <c r="C22" s="81" t="s">
        <v>28</v>
      </c>
      <c r="D22" s="82"/>
      <c r="E22" s="82"/>
      <c r="F22" s="82"/>
      <c r="G22" s="82"/>
      <c r="H22" s="82"/>
      <c r="I22" s="82"/>
      <c r="J22" s="82"/>
      <c r="K22" s="83"/>
      <c r="L22" s="84"/>
      <c r="O22" s="177"/>
    </row>
    <row r="23" spans="1:15" x14ac:dyDescent="0.25">
      <c r="A23" s="176"/>
      <c r="B23" s="80"/>
      <c r="C23" s="85" t="s">
        <v>65</v>
      </c>
      <c r="D23" s="82"/>
      <c r="E23" s="82"/>
      <c r="F23" s="82" t="s">
        <v>44</v>
      </c>
      <c r="G23" s="82" t="s">
        <v>14</v>
      </c>
      <c r="H23" s="82" t="s">
        <v>15</v>
      </c>
      <c r="I23" s="82" t="s">
        <v>15</v>
      </c>
      <c r="J23" s="82">
        <v>0.01</v>
      </c>
      <c r="K23" s="83"/>
      <c r="L23" s="84"/>
      <c r="O23" s="177"/>
    </row>
    <row r="24" spans="1:15" x14ac:dyDescent="0.25">
      <c r="A24" s="176"/>
      <c r="B24" s="80"/>
      <c r="C24" s="81" t="s">
        <v>66</v>
      </c>
      <c r="D24" s="82">
        <v>1</v>
      </c>
      <c r="E24" s="82">
        <f>+E19</f>
        <v>100</v>
      </c>
      <c r="F24" s="82" t="s">
        <v>44</v>
      </c>
      <c r="G24" s="82" t="s">
        <v>14</v>
      </c>
      <c r="H24" s="82" t="s">
        <v>35</v>
      </c>
      <c r="I24" s="82" t="s">
        <v>35</v>
      </c>
      <c r="J24" s="82">
        <v>0.01</v>
      </c>
      <c r="K24" s="83">
        <f>+'Mat y mano obra'!C5</f>
        <v>14806</v>
      </c>
      <c r="L24" s="84">
        <f t="shared" si="1"/>
        <v>148.06</v>
      </c>
      <c r="O24" s="177"/>
    </row>
    <row r="25" spans="1:15" x14ac:dyDescent="0.25">
      <c r="A25" s="176"/>
      <c r="B25" s="80"/>
      <c r="C25" s="81" t="s">
        <v>67</v>
      </c>
      <c r="D25" s="82">
        <v>1</v>
      </c>
      <c r="E25" s="82">
        <f>+E19</f>
        <v>100</v>
      </c>
      <c r="F25" s="82" t="s">
        <v>44</v>
      </c>
      <c r="G25" s="82" t="s">
        <v>14</v>
      </c>
      <c r="H25" s="82" t="s">
        <v>35</v>
      </c>
      <c r="I25" s="82" t="s">
        <v>35</v>
      </c>
      <c r="J25" s="82">
        <v>0.01</v>
      </c>
      <c r="K25" s="83">
        <f>+'Mat y mano obra'!C7</f>
        <v>11846</v>
      </c>
      <c r="L25" s="84">
        <f t="shared" si="1"/>
        <v>118.46000000000001</v>
      </c>
      <c r="O25" s="177"/>
    </row>
    <row r="26" spans="1:15" x14ac:dyDescent="0.25">
      <c r="A26" s="176"/>
      <c r="B26" s="80"/>
      <c r="C26" s="81" t="s">
        <v>68</v>
      </c>
      <c r="D26" s="82"/>
      <c r="E26" s="82"/>
      <c r="F26" s="82"/>
      <c r="G26" s="82"/>
      <c r="H26" s="82"/>
      <c r="I26" s="82" t="s">
        <v>26</v>
      </c>
      <c r="J26" s="82">
        <v>10</v>
      </c>
      <c r="K26" s="83"/>
      <c r="L26" s="84">
        <f>+SUM(L24:L25)*J26%</f>
        <v>26.652000000000001</v>
      </c>
      <c r="O26" s="177"/>
    </row>
    <row r="27" spans="1:15" x14ac:dyDescent="0.25">
      <c r="A27" s="176"/>
      <c r="B27" s="80"/>
      <c r="C27" s="81" t="s">
        <v>69</v>
      </c>
      <c r="D27" s="82">
        <v>3</v>
      </c>
      <c r="E27" s="82">
        <f>+D27*E19</f>
        <v>300</v>
      </c>
      <c r="F27" s="82" t="s">
        <v>44</v>
      </c>
      <c r="G27" s="82" t="s">
        <v>14</v>
      </c>
      <c r="H27" s="82" t="s">
        <v>15</v>
      </c>
      <c r="I27" s="82" t="s">
        <v>15</v>
      </c>
      <c r="J27" s="91">
        <v>3.3333333333333335E-3</v>
      </c>
      <c r="K27" s="83">
        <f>+'Mat y mano obra'!C4</f>
        <v>20142</v>
      </c>
      <c r="L27" s="84">
        <f t="shared" si="1"/>
        <v>67.14</v>
      </c>
      <c r="O27" s="177"/>
    </row>
    <row r="28" spans="1:15" ht="15.75" thickBot="1" x14ac:dyDescent="0.3">
      <c r="A28" s="176"/>
      <c r="B28" s="86"/>
      <c r="C28" s="87" t="s">
        <v>49</v>
      </c>
      <c r="D28" s="88"/>
      <c r="E28" s="88"/>
      <c r="F28" s="88"/>
      <c r="G28" s="88"/>
      <c r="H28" s="88"/>
      <c r="I28" s="88" t="s">
        <v>26</v>
      </c>
      <c r="J28" s="88">
        <v>57</v>
      </c>
      <c r="K28" s="89" t="s">
        <v>27</v>
      </c>
      <c r="L28" s="90">
        <f>+(L24+L25+L27)*J28%</f>
        <v>190.18619999999996</v>
      </c>
      <c r="O28" s="177"/>
    </row>
    <row r="29" spans="1:15" x14ac:dyDescent="0.25">
      <c r="A29" s="176"/>
      <c r="O29" s="177"/>
    </row>
    <row r="30" spans="1:15" ht="15.75" thickBot="1" x14ac:dyDescent="0.3">
      <c r="A30" s="176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O30" s="177"/>
    </row>
    <row r="31" spans="1:15" x14ac:dyDescent="0.25">
      <c r="A31" s="176"/>
      <c r="B31" s="66" t="s">
        <v>0</v>
      </c>
      <c r="C31" s="67" t="s">
        <v>1</v>
      </c>
      <c r="D31" s="68"/>
      <c r="E31" s="68"/>
      <c r="F31" s="68"/>
      <c r="G31" s="68"/>
      <c r="H31" s="68"/>
      <c r="I31" s="67" t="s">
        <v>5</v>
      </c>
      <c r="J31" s="67" t="s">
        <v>6</v>
      </c>
      <c r="K31" s="67" t="s">
        <v>7</v>
      </c>
      <c r="L31" s="69" t="s">
        <v>8</v>
      </c>
      <c r="O31" s="177"/>
    </row>
    <row r="32" spans="1:15" ht="15.75" thickBot="1" x14ac:dyDescent="0.3">
      <c r="A32" s="176"/>
      <c r="B32" s="70"/>
      <c r="C32" s="71" t="s">
        <v>71</v>
      </c>
      <c r="D32" s="64"/>
      <c r="E32" s="64"/>
      <c r="F32" s="64"/>
      <c r="G32" s="64"/>
      <c r="H32" s="64"/>
      <c r="I32" s="72" t="s">
        <v>44</v>
      </c>
      <c r="J32" s="72">
        <v>1</v>
      </c>
      <c r="K32" s="65"/>
      <c r="L32" s="73">
        <f>+SUM(L34:L42)</f>
        <v>1305.9176000000002</v>
      </c>
      <c r="O32" s="177"/>
    </row>
    <row r="33" spans="1:15" x14ac:dyDescent="0.25">
      <c r="A33" s="176"/>
      <c r="B33" s="74"/>
      <c r="C33" s="75" t="s">
        <v>62</v>
      </c>
      <c r="D33" s="76"/>
      <c r="E33" s="185">
        <f>+rendimiento!D11</f>
        <v>75</v>
      </c>
      <c r="F33" s="76"/>
      <c r="G33" s="76"/>
      <c r="H33" s="76"/>
      <c r="I33" s="77"/>
      <c r="J33" s="77"/>
      <c r="K33" s="78"/>
      <c r="L33" s="79"/>
      <c r="O33" s="177"/>
    </row>
    <row r="34" spans="1:15" x14ac:dyDescent="0.25">
      <c r="A34" s="176"/>
      <c r="B34" s="80"/>
      <c r="C34" s="81" t="s">
        <v>63</v>
      </c>
      <c r="D34" s="82"/>
      <c r="E34" s="82"/>
      <c r="F34" s="82"/>
      <c r="G34" s="82"/>
      <c r="H34" s="82"/>
      <c r="I34" s="82" t="s">
        <v>44</v>
      </c>
      <c r="J34" s="82">
        <v>1.1000000000000001</v>
      </c>
      <c r="K34" s="83">
        <f>+J34*'APU DT-18'!C13*0.33+'Mat y mano obra'!C25</f>
        <v>512</v>
      </c>
      <c r="L34" s="84">
        <f>+K34*J34</f>
        <v>563.20000000000005</v>
      </c>
      <c r="O34" s="177"/>
    </row>
    <row r="35" spans="1:15" x14ac:dyDescent="0.25">
      <c r="A35" s="176"/>
      <c r="B35" s="80"/>
      <c r="C35" s="81" t="s">
        <v>64</v>
      </c>
      <c r="D35" s="82"/>
      <c r="E35" s="82"/>
      <c r="F35" s="82"/>
      <c r="G35" s="82"/>
      <c r="H35" s="82"/>
      <c r="I35" s="163" t="s">
        <v>44</v>
      </c>
      <c r="J35" s="163">
        <v>0.01</v>
      </c>
      <c r="K35" s="162">
        <f>+'Mat y mano obra'!C27</f>
        <v>872</v>
      </c>
      <c r="L35" s="84">
        <f t="shared" ref="L35:L41" si="2">+K35*J35</f>
        <v>8.7200000000000006</v>
      </c>
      <c r="O35" s="177"/>
    </row>
    <row r="36" spans="1:15" x14ac:dyDescent="0.25">
      <c r="A36" s="176"/>
      <c r="B36" s="80"/>
      <c r="C36" s="81" t="s">
        <v>28</v>
      </c>
      <c r="D36" s="82"/>
      <c r="E36" s="82"/>
      <c r="F36" s="82"/>
      <c r="G36" s="82"/>
      <c r="H36" s="82"/>
      <c r="I36" s="82"/>
      <c r="J36" s="82"/>
      <c r="K36" s="83"/>
      <c r="L36" s="84"/>
      <c r="O36" s="177"/>
    </row>
    <row r="37" spans="1:15" x14ac:dyDescent="0.25">
      <c r="A37" s="176"/>
      <c r="B37" s="80"/>
      <c r="C37" s="85" t="s">
        <v>65</v>
      </c>
      <c r="D37" s="82"/>
      <c r="E37" s="82"/>
      <c r="F37" s="82" t="s">
        <v>44</v>
      </c>
      <c r="G37" s="82" t="s">
        <v>14</v>
      </c>
      <c r="H37" s="82" t="s">
        <v>15</v>
      </c>
      <c r="I37" s="82" t="s">
        <v>15</v>
      </c>
      <c r="J37" s="91">
        <v>1.3333333333333334E-2</v>
      </c>
      <c r="K37" s="83"/>
      <c r="L37" s="84"/>
      <c r="O37" s="177"/>
    </row>
    <row r="38" spans="1:15" x14ac:dyDescent="0.25">
      <c r="A38" s="176"/>
      <c r="B38" s="80"/>
      <c r="C38" s="81" t="s">
        <v>66</v>
      </c>
      <c r="D38" s="82">
        <v>1</v>
      </c>
      <c r="E38" s="82">
        <f>+E33</f>
        <v>75</v>
      </c>
      <c r="F38" s="82" t="s">
        <v>44</v>
      </c>
      <c r="G38" s="82" t="s">
        <v>14</v>
      </c>
      <c r="H38" s="82" t="s">
        <v>35</v>
      </c>
      <c r="I38" s="82" t="s">
        <v>35</v>
      </c>
      <c r="J38" s="91">
        <v>1.3333333333333334E-2</v>
      </c>
      <c r="K38" s="83">
        <f>+'Mat y mano obra'!C5</f>
        <v>14806</v>
      </c>
      <c r="L38" s="84">
        <f t="shared" si="2"/>
        <v>197.41333333333336</v>
      </c>
      <c r="O38" s="177"/>
    </row>
    <row r="39" spans="1:15" x14ac:dyDescent="0.25">
      <c r="A39" s="176"/>
      <c r="B39" s="80"/>
      <c r="C39" s="81" t="s">
        <v>67</v>
      </c>
      <c r="D39" s="82">
        <v>1</v>
      </c>
      <c r="E39" s="82">
        <f>+E33</f>
        <v>75</v>
      </c>
      <c r="F39" s="82" t="s">
        <v>44</v>
      </c>
      <c r="G39" s="82" t="s">
        <v>14</v>
      </c>
      <c r="H39" s="82" t="s">
        <v>35</v>
      </c>
      <c r="I39" s="82" t="s">
        <v>35</v>
      </c>
      <c r="J39" s="91">
        <v>1.3333333333333334E-2</v>
      </c>
      <c r="K39" s="83">
        <f>+'Mat y mano obra'!C7</f>
        <v>11846</v>
      </c>
      <c r="L39" s="84">
        <f t="shared" si="2"/>
        <v>157.94666666666669</v>
      </c>
      <c r="O39" s="177"/>
    </row>
    <row r="40" spans="1:15" x14ac:dyDescent="0.25">
      <c r="A40" s="176"/>
      <c r="B40" s="80"/>
      <c r="C40" s="81" t="s">
        <v>68</v>
      </c>
      <c r="D40" s="82"/>
      <c r="E40" s="82"/>
      <c r="F40" s="82"/>
      <c r="G40" s="82"/>
      <c r="H40" s="82"/>
      <c r="I40" s="82" t="s">
        <v>26</v>
      </c>
      <c r="J40" s="172">
        <v>10</v>
      </c>
      <c r="K40" s="83"/>
      <c r="L40" s="84">
        <f>+SUM(L38:L39)*J40%</f>
        <v>35.536000000000001</v>
      </c>
      <c r="O40" s="177"/>
    </row>
    <row r="41" spans="1:15" x14ac:dyDescent="0.25">
      <c r="A41" s="176"/>
      <c r="B41" s="80"/>
      <c r="C41" s="81" t="s">
        <v>69</v>
      </c>
      <c r="D41" s="82">
        <v>3</v>
      </c>
      <c r="E41" s="82">
        <f>+D41*E33</f>
        <v>225</v>
      </c>
      <c r="F41" s="82" t="s">
        <v>44</v>
      </c>
      <c r="G41" s="82" t="s">
        <v>14</v>
      </c>
      <c r="H41" s="82" t="s">
        <v>15</v>
      </c>
      <c r="I41" s="82" t="s">
        <v>15</v>
      </c>
      <c r="J41" s="91">
        <v>4.4444444444444444E-3</v>
      </c>
      <c r="K41" s="83">
        <f>+'Mat y mano obra'!C4</f>
        <v>20142</v>
      </c>
      <c r="L41" s="84">
        <f t="shared" si="2"/>
        <v>89.52</v>
      </c>
      <c r="O41" s="177"/>
    </row>
    <row r="42" spans="1:15" ht="15.75" thickBot="1" x14ac:dyDescent="0.3">
      <c r="A42" s="176"/>
      <c r="B42" s="86"/>
      <c r="C42" s="87" t="s">
        <v>49</v>
      </c>
      <c r="D42" s="88"/>
      <c r="E42" s="88"/>
      <c r="F42" s="88"/>
      <c r="G42" s="88"/>
      <c r="H42" s="88"/>
      <c r="I42" s="88" t="s">
        <v>26</v>
      </c>
      <c r="J42" s="88">
        <v>57</v>
      </c>
      <c r="K42" s="89" t="s">
        <v>27</v>
      </c>
      <c r="L42" s="90">
        <f>+(L38+L39+L41)*J42%</f>
        <v>253.58159999999998</v>
      </c>
      <c r="O42" s="177"/>
    </row>
    <row r="43" spans="1:15" x14ac:dyDescent="0.25">
      <c r="A43" s="176"/>
      <c r="O43" s="177"/>
    </row>
    <row r="44" spans="1:15" ht="15.75" thickBot="1" x14ac:dyDescent="0.3">
      <c r="A44" s="176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O44" s="177"/>
    </row>
    <row r="45" spans="1:15" x14ac:dyDescent="0.25">
      <c r="A45" s="176"/>
      <c r="B45" s="66" t="s">
        <v>0</v>
      </c>
      <c r="C45" s="67" t="s">
        <v>1</v>
      </c>
      <c r="D45" s="68"/>
      <c r="E45" s="68"/>
      <c r="F45" s="68"/>
      <c r="G45" s="68"/>
      <c r="H45" s="68"/>
      <c r="I45" s="67" t="s">
        <v>5</v>
      </c>
      <c r="J45" s="67" t="s">
        <v>6</v>
      </c>
      <c r="K45" s="67" t="s">
        <v>7</v>
      </c>
      <c r="L45" s="69" t="s">
        <v>8</v>
      </c>
      <c r="O45" s="177"/>
    </row>
    <row r="46" spans="1:15" ht="15.75" thickBot="1" x14ac:dyDescent="0.3">
      <c r="A46" s="176"/>
      <c r="B46" s="70"/>
      <c r="C46" s="71" t="s">
        <v>72</v>
      </c>
      <c r="D46" s="64"/>
      <c r="E46" s="64"/>
      <c r="F46" s="64"/>
      <c r="G46" s="64"/>
      <c r="H46" s="64"/>
      <c r="I46" s="72" t="s">
        <v>44</v>
      </c>
      <c r="J46" s="72">
        <v>1</v>
      </c>
      <c r="K46" s="65"/>
      <c r="L46" s="73">
        <f>+SUM(L48:L56)</f>
        <v>1418.8403076923078</v>
      </c>
      <c r="O46" s="177"/>
    </row>
    <row r="47" spans="1:15" x14ac:dyDescent="0.25">
      <c r="A47" s="176"/>
      <c r="B47" s="74"/>
      <c r="C47" s="75" t="s">
        <v>62</v>
      </c>
      <c r="D47" s="76"/>
      <c r="E47" s="185">
        <f>+rendimiento!D12</f>
        <v>65</v>
      </c>
      <c r="F47" s="76"/>
      <c r="G47" s="76"/>
      <c r="H47" s="76"/>
      <c r="I47" s="77"/>
      <c r="J47" s="77"/>
      <c r="K47" s="78"/>
      <c r="L47" s="79"/>
      <c r="O47" s="177"/>
    </row>
    <row r="48" spans="1:15" x14ac:dyDescent="0.25">
      <c r="A48" s="176"/>
      <c r="B48" s="80"/>
      <c r="C48" s="81" t="s">
        <v>63</v>
      </c>
      <c r="D48" s="82"/>
      <c r="E48" s="82"/>
      <c r="F48" s="82"/>
      <c r="G48" s="82"/>
      <c r="H48" s="82"/>
      <c r="I48" s="82" t="s">
        <v>44</v>
      </c>
      <c r="J48" s="82">
        <v>1.1000000000000001</v>
      </c>
      <c r="K48" s="83">
        <f>+J48*0.33*'APU DT-18'!C13+'Mat y mano obra'!C25</f>
        <v>512</v>
      </c>
      <c r="L48" s="84">
        <f>+K48*J48</f>
        <v>563.20000000000005</v>
      </c>
      <c r="O48" s="177"/>
    </row>
    <row r="49" spans="1:15" x14ac:dyDescent="0.25">
      <c r="A49" s="176"/>
      <c r="B49" s="80"/>
      <c r="C49" s="81" t="s">
        <v>64</v>
      </c>
      <c r="D49" s="82"/>
      <c r="E49" s="82"/>
      <c r="F49" s="82"/>
      <c r="G49" s="82"/>
      <c r="H49" s="82"/>
      <c r="I49" s="163" t="s">
        <v>44</v>
      </c>
      <c r="J49" s="163">
        <v>0.01</v>
      </c>
      <c r="K49" s="162">
        <f>+'Mat y mano obra'!C27</f>
        <v>872</v>
      </c>
      <c r="L49" s="84">
        <f t="shared" ref="L49:L55" si="3">+K49*J49</f>
        <v>8.7200000000000006</v>
      </c>
      <c r="O49" s="177"/>
    </row>
    <row r="50" spans="1:15" x14ac:dyDescent="0.25">
      <c r="A50" s="176"/>
      <c r="B50" s="80"/>
      <c r="C50" s="81" t="s">
        <v>28</v>
      </c>
      <c r="D50" s="82"/>
      <c r="E50" s="82"/>
      <c r="F50" s="82"/>
      <c r="G50" s="82"/>
      <c r="H50" s="82"/>
      <c r="I50" s="82"/>
      <c r="J50" s="82"/>
      <c r="K50" s="83"/>
      <c r="L50" s="84"/>
      <c r="O50" s="177"/>
    </row>
    <row r="51" spans="1:15" x14ac:dyDescent="0.25">
      <c r="A51" s="176"/>
      <c r="B51" s="80"/>
      <c r="C51" s="85" t="s">
        <v>65</v>
      </c>
      <c r="D51" s="82"/>
      <c r="E51" s="82"/>
      <c r="F51" s="82" t="s">
        <v>44</v>
      </c>
      <c r="G51" s="82" t="s">
        <v>14</v>
      </c>
      <c r="H51" s="82" t="s">
        <v>15</v>
      </c>
      <c r="I51" s="82" t="s">
        <v>15</v>
      </c>
      <c r="J51" s="91">
        <v>1.5384615384615385E-2</v>
      </c>
      <c r="K51" s="83"/>
      <c r="L51" s="84"/>
      <c r="O51" s="177"/>
    </row>
    <row r="52" spans="1:15" x14ac:dyDescent="0.25">
      <c r="A52" s="176"/>
      <c r="B52" s="80"/>
      <c r="C52" s="81" t="s">
        <v>66</v>
      </c>
      <c r="D52" s="82">
        <v>1</v>
      </c>
      <c r="E52" s="82">
        <f>+E47</f>
        <v>65</v>
      </c>
      <c r="F52" s="82" t="s">
        <v>44</v>
      </c>
      <c r="G52" s="82" t="s">
        <v>14</v>
      </c>
      <c r="H52" s="82" t="s">
        <v>35</v>
      </c>
      <c r="I52" s="82" t="s">
        <v>35</v>
      </c>
      <c r="J52" s="91">
        <v>1.5384615384615385E-2</v>
      </c>
      <c r="K52" s="83">
        <f>+'Mat y mano obra'!C5</f>
        <v>14806</v>
      </c>
      <c r="L52" s="84">
        <f t="shared" si="3"/>
        <v>227.78461538461539</v>
      </c>
      <c r="O52" s="177"/>
    </row>
    <row r="53" spans="1:15" x14ac:dyDescent="0.25">
      <c r="A53" s="176"/>
      <c r="B53" s="80"/>
      <c r="C53" s="81" t="s">
        <v>67</v>
      </c>
      <c r="D53" s="82">
        <v>1</v>
      </c>
      <c r="E53" s="82">
        <f>+E47</f>
        <v>65</v>
      </c>
      <c r="F53" s="82" t="s">
        <v>44</v>
      </c>
      <c r="G53" s="82" t="s">
        <v>14</v>
      </c>
      <c r="H53" s="82" t="s">
        <v>35</v>
      </c>
      <c r="I53" s="82" t="s">
        <v>35</v>
      </c>
      <c r="J53" s="91">
        <v>1.5384615384615385E-2</v>
      </c>
      <c r="K53" s="83">
        <f>+'Mat y mano obra'!C7</f>
        <v>11846</v>
      </c>
      <c r="L53" s="84">
        <f t="shared" si="3"/>
        <v>182.24615384615385</v>
      </c>
      <c r="O53" s="177"/>
    </row>
    <row r="54" spans="1:15" x14ac:dyDescent="0.25">
      <c r="A54" s="176"/>
      <c r="B54" s="80"/>
      <c r="C54" s="81" t="s">
        <v>68</v>
      </c>
      <c r="D54" s="82"/>
      <c r="E54" s="82"/>
      <c r="F54" s="82"/>
      <c r="G54" s="82"/>
      <c r="H54" s="82"/>
      <c r="I54" s="82" t="s">
        <v>26</v>
      </c>
      <c r="J54" s="172">
        <v>10</v>
      </c>
      <c r="K54" s="83"/>
      <c r="L54" s="84">
        <f>+SUM(L52:L53)*J54%</f>
        <v>41.003076923076925</v>
      </c>
      <c r="O54" s="177"/>
    </row>
    <row r="55" spans="1:15" x14ac:dyDescent="0.25">
      <c r="A55" s="176"/>
      <c r="B55" s="80"/>
      <c r="C55" s="81" t="s">
        <v>69</v>
      </c>
      <c r="D55" s="82">
        <v>3</v>
      </c>
      <c r="E55" s="82">
        <f>+D55*E47</f>
        <v>195</v>
      </c>
      <c r="F55" s="82" t="s">
        <v>44</v>
      </c>
      <c r="G55" s="82" t="s">
        <v>14</v>
      </c>
      <c r="H55" s="82" t="s">
        <v>15</v>
      </c>
      <c r="I55" s="82" t="s">
        <v>15</v>
      </c>
      <c r="J55" s="91">
        <v>5.1282051282051282E-3</v>
      </c>
      <c r="K55" s="83">
        <f>+'Mat y mano obra'!C4</f>
        <v>20142</v>
      </c>
      <c r="L55" s="84">
        <f t="shared" si="3"/>
        <v>103.29230769230769</v>
      </c>
      <c r="O55" s="177"/>
    </row>
    <row r="56" spans="1:15" ht="15.75" thickBot="1" x14ac:dyDescent="0.3">
      <c r="A56" s="176"/>
      <c r="B56" s="86"/>
      <c r="C56" s="87" t="s">
        <v>49</v>
      </c>
      <c r="D56" s="88"/>
      <c r="E56" s="88"/>
      <c r="F56" s="88"/>
      <c r="G56" s="88"/>
      <c r="H56" s="88"/>
      <c r="I56" s="88" t="s">
        <v>26</v>
      </c>
      <c r="J56" s="88">
        <v>57</v>
      </c>
      <c r="K56" s="89" t="s">
        <v>27</v>
      </c>
      <c r="L56" s="90">
        <f>+(L52+L53+L55)*J56%</f>
        <v>292.5941538461538</v>
      </c>
      <c r="O56" s="177"/>
    </row>
    <row r="57" spans="1:15" x14ac:dyDescent="0.25">
      <c r="A57" s="176"/>
      <c r="O57" s="177"/>
    </row>
    <row r="58" spans="1:15" ht="15.75" thickBot="1" x14ac:dyDescent="0.3">
      <c r="A58" s="176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O58" s="177"/>
    </row>
    <row r="59" spans="1:15" ht="15.75" thickBot="1" x14ac:dyDescent="0.3">
      <c r="A59" s="176"/>
      <c r="B59" s="66" t="s">
        <v>0</v>
      </c>
      <c r="C59" s="67" t="s">
        <v>1</v>
      </c>
      <c r="D59" s="68"/>
      <c r="E59" s="68"/>
      <c r="F59" s="68"/>
      <c r="G59" s="68"/>
      <c r="H59" s="68"/>
      <c r="I59" s="67" t="s">
        <v>5</v>
      </c>
      <c r="J59" s="67" t="s">
        <v>6</v>
      </c>
      <c r="K59" s="67" t="s">
        <v>7</v>
      </c>
      <c r="L59" s="69" t="s">
        <v>8</v>
      </c>
      <c r="O59" s="177"/>
    </row>
    <row r="60" spans="1:15" ht="15.75" thickBot="1" x14ac:dyDescent="0.3">
      <c r="A60" s="176"/>
      <c r="B60" s="70"/>
      <c r="C60" s="71" t="s">
        <v>75</v>
      </c>
      <c r="D60" s="99" t="s">
        <v>2</v>
      </c>
      <c r="E60" s="100" t="s">
        <v>3</v>
      </c>
      <c r="F60" s="621" t="s">
        <v>4</v>
      </c>
      <c r="G60" s="622"/>
      <c r="H60" s="623"/>
      <c r="I60" s="72" t="s">
        <v>44</v>
      </c>
      <c r="J60" s="72">
        <v>1</v>
      </c>
      <c r="K60" s="65"/>
      <c r="L60" s="73">
        <f>+SUM(L62:L70)</f>
        <v>1244.5182000000002</v>
      </c>
      <c r="O60" s="177"/>
    </row>
    <row r="61" spans="1:15" x14ac:dyDescent="0.25">
      <c r="A61" s="176"/>
      <c r="B61" s="74"/>
      <c r="C61" s="75" t="s">
        <v>62</v>
      </c>
      <c r="D61" s="76"/>
      <c r="E61" s="185">
        <f>+rendimiento!D13</f>
        <v>100</v>
      </c>
      <c r="F61" s="76"/>
      <c r="G61" s="76"/>
      <c r="H61" s="76"/>
      <c r="I61" s="77"/>
      <c r="J61" s="77"/>
      <c r="K61" s="78"/>
      <c r="L61" s="79"/>
      <c r="O61" s="177"/>
    </row>
    <row r="62" spans="1:15" x14ac:dyDescent="0.25">
      <c r="A62" s="176"/>
      <c r="B62" s="80"/>
      <c r="C62" s="81" t="s">
        <v>74</v>
      </c>
      <c r="D62" s="82"/>
      <c r="E62" s="82"/>
      <c r="F62" s="82"/>
      <c r="G62" s="82"/>
      <c r="H62" s="82"/>
      <c r="I62" s="82" t="s">
        <v>44</v>
      </c>
      <c r="J62" s="82">
        <v>1.1000000000000001</v>
      </c>
      <c r="K62" s="83">
        <f>+J62*0.33*'APU DT-18'!C13+'Mat y mano obra'!C26</f>
        <v>623</v>
      </c>
      <c r="L62" s="84">
        <f>+K62*J62</f>
        <v>685.30000000000007</v>
      </c>
      <c r="O62" s="177"/>
    </row>
    <row r="63" spans="1:15" x14ac:dyDescent="0.25">
      <c r="A63" s="176"/>
      <c r="B63" s="80"/>
      <c r="C63" s="81" t="s">
        <v>64</v>
      </c>
      <c r="D63" s="82"/>
      <c r="E63" s="82"/>
      <c r="F63" s="82"/>
      <c r="G63" s="82"/>
      <c r="H63" s="82"/>
      <c r="I63" s="163" t="s">
        <v>44</v>
      </c>
      <c r="J63" s="163">
        <v>0.01</v>
      </c>
      <c r="K63" s="162">
        <f>+'Mat y mano obra'!C27</f>
        <v>872</v>
      </c>
      <c r="L63" s="84">
        <f t="shared" ref="L63:L69" si="4">+K63*J63</f>
        <v>8.7200000000000006</v>
      </c>
      <c r="O63" s="177"/>
    </row>
    <row r="64" spans="1:15" x14ac:dyDescent="0.25">
      <c r="A64" s="176"/>
      <c r="B64" s="80"/>
      <c r="C64" s="81" t="s">
        <v>28</v>
      </c>
      <c r="D64" s="82"/>
      <c r="E64" s="82"/>
      <c r="F64" s="82"/>
      <c r="G64" s="82"/>
      <c r="H64" s="82"/>
      <c r="I64" s="82"/>
      <c r="J64" s="82"/>
      <c r="K64" s="83"/>
      <c r="L64" s="84"/>
      <c r="O64" s="177"/>
    </row>
    <row r="65" spans="1:15" x14ac:dyDescent="0.25">
      <c r="A65" s="176"/>
      <c r="B65" s="80"/>
      <c r="C65" s="85" t="s">
        <v>65</v>
      </c>
      <c r="D65" s="82"/>
      <c r="E65" s="82"/>
      <c r="F65" s="82" t="s">
        <v>44</v>
      </c>
      <c r="G65" s="82" t="s">
        <v>14</v>
      </c>
      <c r="H65" s="82" t="s">
        <v>15</v>
      </c>
      <c r="I65" s="82" t="s">
        <v>15</v>
      </c>
      <c r="J65" s="82">
        <v>9.1000000000000004E-3</v>
      </c>
      <c r="K65" s="83"/>
      <c r="L65" s="84"/>
      <c r="O65" s="177"/>
    </row>
    <row r="66" spans="1:15" x14ac:dyDescent="0.25">
      <c r="A66" s="176"/>
      <c r="B66" s="80"/>
      <c r="C66" s="81" t="s">
        <v>66</v>
      </c>
      <c r="D66" s="82">
        <v>1</v>
      </c>
      <c r="E66" s="82">
        <f>+E61</f>
        <v>100</v>
      </c>
      <c r="F66" s="82" t="s">
        <v>44</v>
      </c>
      <c r="G66" s="82" t="s">
        <v>14</v>
      </c>
      <c r="H66" s="82" t="s">
        <v>35</v>
      </c>
      <c r="I66" s="82" t="s">
        <v>35</v>
      </c>
      <c r="J66" s="82">
        <f>+D66/E66/D66</f>
        <v>0.01</v>
      </c>
      <c r="K66" s="83">
        <f>+'Mat y mano obra'!C5</f>
        <v>14806</v>
      </c>
      <c r="L66" s="84">
        <f t="shared" si="4"/>
        <v>148.06</v>
      </c>
      <c r="O66" s="177"/>
    </row>
    <row r="67" spans="1:15" x14ac:dyDescent="0.25">
      <c r="A67" s="176"/>
      <c r="B67" s="80"/>
      <c r="C67" s="81" t="s">
        <v>67</v>
      </c>
      <c r="D67" s="82">
        <v>1</v>
      </c>
      <c r="E67" s="82">
        <f>+E61</f>
        <v>100</v>
      </c>
      <c r="F67" s="82" t="s">
        <v>44</v>
      </c>
      <c r="G67" s="82" t="s">
        <v>14</v>
      </c>
      <c r="H67" s="82" t="s">
        <v>35</v>
      </c>
      <c r="I67" s="82" t="s">
        <v>35</v>
      </c>
      <c r="J67" s="82">
        <f>+D67/E67/D67</f>
        <v>0.01</v>
      </c>
      <c r="K67" s="83">
        <f>+'Mat y mano obra'!C7</f>
        <v>11846</v>
      </c>
      <c r="L67" s="84">
        <f t="shared" si="4"/>
        <v>118.46000000000001</v>
      </c>
      <c r="O67" s="177"/>
    </row>
    <row r="68" spans="1:15" x14ac:dyDescent="0.25">
      <c r="A68" s="176"/>
      <c r="B68" s="80"/>
      <c r="C68" s="81" t="s">
        <v>68</v>
      </c>
      <c r="D68" s="82"/>
      <c r="E68" s="82"/>
      <c r="F68" s="82"/>
      <c r="G68" s="82"/>
      <c r="H68" s="82"/>
      <c r="I68" s="82" t="s">
        <v>26</v>
      </c>
      <c r="J68" s="82">
        <v>10</v>
      </c>
      <c r="K68" s="83"/>
      <c r="L68" s="84">
        <f>+SUM(L66:L67)*J68%</f>
        <v>26.652000000000001</v>
      </c>
      <c r="O68" s="177"/>
    </row>
    <row r="69" spans="1:15" x14ac:dyDescent="0.25">
      <c r="A69" s="176"/>
      <c r="B69" s="80"/>
      <c r="C69" s="81" t="s">
        <v>69</v>
      </c>
      <c r="D69" s="82">
        <v>3</v>
      </c>
      <c r="E69" s="82">
        <f>+D69*E61</f>
        <v>300</v>
      </c>
      <c r="F69" s="82" t="s">
        <v>44</v>
      </c>
      <c r="G69" s="82" t="s">
        <v>14</v>
      </c>
      <c r="H69" s="82" t="s">
        <v>15</v>
      </c>
      <c r="I69" s="82" t="s">
        <v>15</v>
      </c>
      <c r="J69" s="82">
        <f>+D69/E69/D69</f>
        <v>3.3333333333333335E-3</v>
      </c>
      <c r="K69" s="83">
        <f>+'Mat y mano obra'!C4</f>
        <v>20142</v>
      </c>
      <c r="L69" s="84">
        <f t="shared" si="4"/>
        <v>67.14</v>
      </c>
      <c r="O69" s="177"/>
    </row>
    <row r="70" spans="1:15" ht="15.75" thickBot="1" x14ac:dyDescent="0.3">
      <c r="A70" s="176"/>
      <c r="B70" s="86"/>
      <c r="C70" s="87" t="s">
        <v>49</v>
      </c>
      <c r="D70" s="88"/>
      <c r="E70" s="88"/>
      <c r="F70" s="88"/>
      <c r="G70" s="88"/>
      <c r="H70" s="88"/>
      <c r="I70" s="88" t="s">
        <v>26</v>
      </c>
      <c r="J70" s="88">
        <v>57</v>
      </c>
      <c r="K70" s="89" t="s">
        <v>27</v>
      </c>
      <c r="L70" s="90">
        <f>+(L66+L67+L69)*J70%</f>
        <v>190.18619999999996</v>
      </c>
      <c r="O70" s="177"/>
    </row>
    <row r="71" spans="1:15" x14ac:dyDescent="0.25">
      <c r="A71" s="176"/>
      <c r="O71" s="177"/>
    </row>
    <row r="72" spans="1:15" ht="15.75" thickBot="1" x14ac:dyDescent="0.3">
      <c r="A72" s="176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O72" s="177"/>
    </row>
    <row r="73" spans="1:15" x14ac:dyDescent="0.25">
      <c r="A73" s="176"/>
      <c r="B73" s="66" t="s">
        <v>0</v>
      </c>
      <c r="C73" s="67" t="s">
        <v>1</v>
      </c>
      <c r="D73" s="68"/>
      <c r="E73" s="68"/>
      <c r="F73" s="68"/>
      <c r="G73" s="68"/>
      <c r="H73" s="68"/>
      <c r="I73" s="67" t="s">
        <v>5</v>
      </c>
      <c r="J73" s="67" t="s">
        <v>6</v>
      </c>
      <c r="K73" s="67" t="s">
        <v>7</v>
      </c>
      <c r="L73" s="69" t="s">
        <v>8</v>
      </c>
      <c r="O73" s="177"/>
    </row>
    <row r="74" spans="1:15" ht="15.75" thickBot="1" x14ac:dyDescent="0.3">
      <c r="A74" s="176"/>
      <c r="B74" s="70"/>
      <c r="C74" s="71" t="s">
        <v>76</v>
      </c>
      <c r="D74" s="64"/>
      <c r="E74" s="64"/>
      <c r="F74" s="64"/>
      <c r="G74" s="64"/>
      <c r="H74" s="64"/>
      <c r="I74" s="72" t="s">
        <v>44</v>
      </c>
      <c r="J74" s="72">
        <v>1</v>
      </c>
      <c r="K74" s="65"/>
      <c r="L74" s="73">
        <f>+SUM(L76:L84)</f>
        <v>1244.5182000000002</v>
      </c>
      <c r="O74" s="177"/>
    </row>
    <row r="75" spans="1:15" x14ac:dyDescent="0.25">
      <c r="A75" s="176"/>
      <c r="B75" s="74"/>
      <c r="C75" s="75" t="s">
        <v>62</v>
      </c>
      <c r="D75" s="76"/>
      <c r="E75" s="185">
        <f>+rendimiento!D14</f>
        <v>100</v>
      </c>
      <c r="F75" s="76"/>
      <c r="G75" s="76"/>
      <c r="H75" s="76"/>
      <c r="I75" s="77"/>
      <c r="J75" s="77"/>
      <c r="K75" s="78"/>
      <c r="L75" s="79"/>
      <c r="O75" s="177"/>
    </row>
    <row r="76" spans="1:15" x14ac:dyDescent="0.25">
      <c r="A76" s="176"/>
      <c r="B76" s="80"/>
      <c r="C76" s="81" t="s">
        <v>63</v>
      </c>
      <c r="D76" s="82"/>
      <c r="E76" s="82"/>
      <c r="F76" s="82"/>
      <c r="G76" s="82"/>
      <c r="H76" s="82"/>
      <c r="I76" s="82" t="s">
        <v>44</v>
      </c>
      <c r="J76" s="82">
        <v>1.1000000000000001</v>
      </c>
      <c r="K76" s="83">
        <f>+J76*0.33*'APU DT-18'!C13+'Mat y mano obra'!C26</f>
        <v>623</v>
      </c>
      <c r="L76" s="84">
        <f>+K76*J76</f>
        <v>685.30000000000007</v>
      </c>
      <c r="O76" s="177"/>
    </row>
    <row r="77" spans="1:15" x14ac:dyDescent="0.25">
      <c r="A77" s="176"/>
      <c r="B77" s="80"/>
      <c r="C77" s="81" t="s">
        <v>64</v>
      </c>
      <c r="D77" s="82"/>
      <c r="E77" s="82"/>
      <c r="F77" s="82"/>
      <c r="G77" s="82"/>
      <c r="H77" s="82"/>
      <c r="I77" s="163" t="s">
        <v>44</v>
      </c>
      <c r="J77" s="163">
        <v>0.01</v>
      </c>
      <c r="K77" s="162">
        <f>+'Mat y mano obra'!C27</f>
        <v>872</v>
      </c>
      <c r="L77" s="84">
        <f t="shared" ref="L77:L83" si="5">+K77*J77</f>
        <v>8.7200000000000006</v>
      </c>
      <c r="O77" s="177"/>
    </row>
    <row r="78" spans="1:15" x14ac:dyDescent="0.25">
      <c r="A78" s="176"/>
      <c r="B78" s="80"/>
      <c r="C78" s="81" t="s">
        <v>28</v>
      </c>
      <c r="D78" s="82"/>
      <c r="E78" s="82"/>
      <c r="F78" s="82"/>
      <c r="G78" s="82"/>
      <c r="H78" s="82"/>
      <c r="I78" s="82"/>
      <c r="J78" s="82"/>
      <c r="K78" s="83"/>
      <c r="L78" s="84"/>
      <c r="O78" s="177"/>
    </row>
    <row r="79" spans="1:15" x14ac:dyDescent="0.25">
      <c r="A79" s="176"/>
      <c r="B79" s="80"/>
      <c r="C79" s="85" t="s">
        <v>65</v>
      </c>
      <c r="D79" s="82"/>
      <c r="E79" s="82"/>
      <c r="F79" s="82" t="s">
        <v>44</v>
      </c>
      <c r="G79" s="82" t="s">
        <v>14</v>
      </c>
      <c r="H79" s="82" t="s">
        <v>15</v>
      </c>
      <c r="I79" s="82" t="s">
        <v>15</v>
      </c>
      <c r="J79" s="82">
        <v>0.01</v>
      </c>
      <c r="K79" s="83"/>
      <c r="L79" s="84"/>
      <c r="O79" s="177"/>
    </row>
    <row r="80" spans="1:15" x14ac:dyDescent="0.25">
      <c r="A80" s="176"/>
      <c r="B80" s="80"/>
      <c r="C80" s="81" t="s">
        <v>66</v>
      </c>
      <c r="D80" s="82">
        <v>1</v>
      </c>
      <c r="E80" s="82">
        <f>+E75</f>
        <v>100</v>
      </c>
      <c r="F80" s="82" t="s">
        <v>44</v>
      </c>
      <c r="G80" s="82" t="s">
        <v>14</v>
      </c>
      <c r="H80" s="82" t="s">
        <v>35</v>
      </c>
      <c r="I80" s="82" t="s">
        <v>35</v>
      </c>
      <c r="J80" s="82">
        <v>0.01</v>
      </c>
      <c r="K80" s="83">
        <f>+'Mat y mano obra'!C5</f>
        <v>14806</v>
      </c>
      <c r="L80" s="84">
        <f t="shared" si="5"/>
        <v>148.06</v>
      </c>
      <c r="O80" s="177"/>
    </row>
    <row r="81" spans="1:15" x14ac:dyDescent="0.25">
      <c r="A81" s="176"/>
      <c r="B81" s="80"/>
      <c r="C81" s="81" t="s">
        <v>67</v>
      </c>
      <c r="D81" s="82">
        <v>1</v>
      </c>
      <c r="E81" s="82">
        <f>+E75</f>
        <v>100</v>
      </c>
      <c r="F81" s="82" t="s">
        <v>44</v>
      </c>
      <c r="G81" s="82" t="s">
        <v>14</v>
      </c>
      <c r="H81" s="82" t="s">
        <v>35</v>
      </c>
      <c r="I81" s="82" t="s">
        <v>35</v>
      </c>
      <c r="J81" s="82">
        <v>0.01</v>
      </c>
      <c r="K81" s="83">
        <f>+'Mat y mano obra'!C7</f>
        <v>11846</v>
      </c>
      <c r="L81" s="84">
        <f t="shared" si="5"/>
        <v>118.46000000000001</v>
      </c>
      <c r="O81" s="177"/>
    </row>
    <row r="82" spans="1:15" x14ac:dyDescent="0.25">
      <c r="A82" s="176"/>
      <c r="B82" s="80"/>
      <c r="C82" s="81" t="s">
        <v>68</v>
      </c>
      <c r="D82" s="82"/>
      <c r="E82" s="82"/>
      <c r="F82" s="82"/>
      <c r="G82" s="82"/>
      <c r="H82" s="82"/>
      <c r="I82" s="82" t="s">
        <v>26</v>
      </c>
      <c r="J82" s="82">
        <v>10</v>
      </c>
      <c r="K82" s="83"/>
      <c r="L82" s="84">
        <f>+SUM(L80:L81)*J82%</f>
        <v>26.652000000000001</v>
      </c>
      <c r="O82" s="177"/>
    </row>
    <row r="83" spans="1:15" x14ac:dyDescent="0.25">
      <c r="A83" s="176"/>
      <c r="B83" s="80"/>
      <c r="C83" s="81" t="s">
        <v>69</v>
      </c>
      <c r="D83" s="82">
        <v>3</v>
      </c>
      <c r="E83" s="82">
        <f>+D83*E75</f>
        <v>300</v>
      </c>
      <c r="F83" s="82" t="s">
        <v>44</v>
      </c>
      <c r="G83" s="82" t="s">
        <v>14</v>
      </c>
      <c r="H83" s="82" t="s">
        <v>15</v>
      </c>
      <c r="I83" s="82" t="s">
        <v>15</v>
      </c>
      <c r="J83" s="91">
        <v>3.3333333333333335E-3</v>
      </c>
      <c r="K83" s="83">
        <f>+'Mat y mano obra'!C4</f>
        <v>20142</v>
      </c>
      <c r="L83" s="84">
        <f t="shared" si="5"/>
        <v>67.14</v>
      </c>
      <c r="O83" s="177"/>
    </row>
    <row r="84" spans="1:15" ht="15.75" thickBot="1" x14ac:dyDescent="0.3">
      <c r="A84" s="176"/>
      <c r="B84" s="86"/>
      <c r="C84" s="87" t="s">
        <v>49</v>
      </c>
      <c r="D84" s="88"/>
      <c r="E84" s="88"/>
      <c r="F84" s="88"/>
      <c r="G84" s="88"/>
      <c r="H84" s="88"/>
      <c r="I84" s="88" t="s">
        <v>26</v>
      </c>
      <c r="J84" s="88">
        <v>57</v>
      </c>
      <c r="K84" s="89" t="s">
        <v>27</v>
      </c>
      <c r="L84" s="90">
        <f>+(L80+L81+L83)*J84%</f>
        <v>190.18619999999996</v>
      </c>
      <c r="O84" s="177"/>
    </row>
    <row r="85" spans="1:15" x14ac:dyDescent="0.25">
      <c r="A85" s="176"/>
      <c r="O85" s="177"/>
    </row>
    <row r="86" spans="1:15" ht="15.75" thickBot="1" x14ac:dyDescent="0.3">
      <c r="A86" s="176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O86" s="177"/>
    </row>
    <row r="87" spans="1:15" x14ac:dyDescent="0.25">
      <c r="A87" s="176"/>
      <c r="B87" s="66" t="s">
        <v>0</v>
      </c>
      <c r="C87" s="67" t="s">
        <v>1</v>
      </c>
      <c r="D87" s="68"/>
      <c r="E87" s="68"/>
      <c r="F87" s="68"/>
      <c r="G87" s="68"/>
      <c r="H87" s="68"/>
      <c r="I87" s="67" t="s">
        <v>5</v>
      </c>
      <c r="J87" s="67" t="s">
        <v>6</v>
      </c>
      <c r="K87" s="67" t="s">
        <v>7</v>
      </c>
      <c r="L87" s="69" t="s">
        <v>8</v>
      </c>
      <c r="O87" s="177"/>
    </row>
    <row r="88" spans="1:15" ht="15.75" thickBot="1" x14ac:dyDescent="0.3">
      <c r="A88" s="176"/>
      <c r="B88" s="70"/>
      <c r="C88" s="71" t="s">
        <v>77</v>
      </c>
      <c r="D88" s="64"/>
      <c r="E88" s="64"/>
      <c r="F88" s="64"/>
      <c r="G88" s="64"/>
      <c r="H88" s="64"/>
      <c r="I88" s="72" t="s">
        <v>44</v>
      </c>
      <c r="J88" s="72">
        <v>1</v>
      </c>
      <c r="K88" s="65"/>
      <c r="L88" s="73">
        <f>+SUM(L90:L98)</f>
        <v>1428.0176000000001</v>
      </c>
      <c r="O88" s="177"/>
    </row>
    <row r="89" spans="1:15" x14ac:dyDescent="0.25">
      <c r="A89" s="176"/>
      <c r="B89" s="74"/>
      <c r="C89" s="75" t="s">
        <v>62</v>
      </c>
      <c r="D89" s="76"/>
      <c r="E89" s="185">
        <f>+rendimiento!D15</f>
        <v>75</v>
      </c>
      <c r="F89" s="76"/>
      <c r="G89" s="76"/>
      <c r="H89" s="76"/>
      <c r="I89" s="77"/>
      <c r="J89" s="77"/>
      <c r="K89" s="78"/>
      <c r="L89" s="79"/>
      <c r="O89" s="177"/>
    </row>
    <row r="90" spans="1:15" x14ac:dyDescent="0.25">
      <c r="A90" s="176"/>
      <c r="B90" s="80"/>
      <c r="C90" s="81" t="s">
        <v>63</v>
      </c>
      <c r="D90" s="82"/>
      <c r="E90" s="82"/>
      <c r="F90" s="82"/>
      <c r="G90" s="82"/>
      <c r="H90" s="82"/>
      <c r="I90" s="82" t="s">
        <v>44</v>
      </c>
      <c r="J90" s="82">
        <v>1.1000000000000001</v>
      </c>
      <c r="K90" s="83">
        <f>+J90*0.33*'APU DT-18'!C13+'Mat y mano obra'!C26</f>
        <v>623</v>
      </c>
      <c r="L90" s="84">
        <f>+K90*J90</f>
        <v>685.30000000000007</v>
      </c>
      <c r="O90" s="177"/>
    </row>
    <row r="91" spans="1:15" x14ac:dyDescent="0.25">
      <c r="A91" s="176"/>
      <c r="B91" s="80"/>
      <c r="C91" s="81" t="s">
        <v>64</v>
      </c>
      <c r="D91" s="82"/>
      <c r="E91" s="82"/>
      <c r="F91" s="82"/>
      <c r="G91" s="82"/>
      <c r="H91" s="82"/>
      <c r="I91" s="163" t="s">
        <v>44</v>
      </c>
      <c r="J91" s="163">
        <v>0.01</v>
      </c>
      <c r="K91" s="162">
        <f>+'Mat y mano obra'!C27</f>
        <v>872</v>
      </c>
      <c r="L91" s="84">
        <f t="shared" ref="L91:L97" si="6">+K91*J91</f>
        <v>8.7200000000000006</v>
      </c>
      <c r="O91" s="177"/>
    </row>
    <row r="92" spans="1:15" x14ac:dyDescent="0.25">
      <c r="A92" s="176"/>
      <c r="B92" s="80"/>
      <c r="C92" s="81" t="s">
        <v>28</v>
      </c>
      <c r="D92" s="82"/>
      <c r="E92" s="82"/>
      <c r="F92" s="82"/>
      <c r="G92" s="82"/>
      <c r="H92" s="82"/>
      <c r="I92" s="82"/>
      <c r="J92" s="82"/>
      <c r="K92" s="83"/>
      <c r="L92" s="84"/>
      <c r="O92" s="177"/>
    </row>
    <row r="93" spans="1:15" x14ac:dyDescent="0.25">
      <c r="A93" s="176"/>
      <c r="B93" s="80"/>
      <c r="C93" s="85" t="s">
        <v>65</v>
      </c>
      <c r="D93" s="82"/>
      <c r="E93" s="82"/>
      <c r="F93" s="82" t="s">
        <v>44</v>
      </c>
      <c r="G93" s="82" t="s">
        <v>14</v>
      </c>
      <c r="H93" s="82" t="s">
        <v>15</v>
      </c>
      <c r="I93" s="82" t="s">
        <v>15</v>
      </c>
      <c r="J93" s="91">
        <v>1.3333333333333334E-2</v>
      </c>
      <c r="K93" s="83"/>
      <c r="L93" s="84"/>
      <c r="O93" s="177"/>
    </row>
    <row r="94" spans="1:15" x14ac:dyDescent="0.25">
      <c r="A94" s="176"/>
      <c r="B94" s="80"/>
      <c r="C94" s="81" t="s">
        <v>66</v>
      </c>
      <c r="D94" s="82">
        <v>1</v>
      </c>
      <c r="E94" s="82">
        <f>+E89</f>
        <v>75</v>
      </c>
      <c r="F94" s="82" t="s">
        <v>44</v>
      </c>
      <c r="G94" s="82" t="s">
        <v>14</v>
      </c>
      <c r="H94" s="82" t="s">
        <v>35</v>
      </c>
      <c r="I94" s="82" t="s">
        <v>35</v>
      </c>
      <c r="J94" s="91">
        <v>1.3333333333333334E-2</v>
      </c>
      <c r="K94" s="83">
        <f>+'Mat y mano obra'!C5</f>
        <v>14806</v>
      </c>
      <c r="L94" s="84">
        <f t="shared" si="6"/>
        <v>197.41333333333336</v>
      </c>
      <c r="O94" s="177"/>
    </row>
    <row r="95" spans="1:15" x14ac:dyDescent="0.25">
      <c r="A95" s="176"/>
      <c r="B95" s="80"/>
      <c r="C95" s="81" t="s">
        <v>67</v>
      </c>
      <c r="D95" s="82">
        <v>1</v>
      </c>
      <c r="E95" s="82">
        <f>+E89</f>
        <v>75</v>
      </c>
      <c r="F95" s="82" t="s">
        <v>44</v>
      </c>
      <c r="G95" s="82" t="s">
        <v>14</v>
      </c>
      <c r="H95" s="82" t="s">
        <v>35</v>
      </c>
      <c r="I95" s="82" t="s">
        <v>35</v>
      </c>
      <c r="J95" s="91">
        <v>1.3333333333333334E-2</v>
      </c>
      <c r="K95" s="83">
        <f>+'Mat y mano obra'!C7</f>
        <v>11846</v>
      </c>
      <c r="L95" s="84">
        <f t="shared" si="6"/>
        <v>157.94666666666669</v>
      </c>
      <c r="O95" s="177"/>
    </row>
    <row r="96" spans="1:15" x14ac:dyDescent="0.25">
      <c r="A96" s="176"/>
      <c r="B96" s="80"/>
      <c r="C96" s="81" t="s">
        <v>68</v>
      </c>
      <c r="D96" s="82"/>
      <c r="E96" s="82"/>
      <c r="F96" s="82"/>
      <c r="G96" s="82"/>
      <c r="H96" s="82"/>
      <c r="I96" s="82" t="s">
        <v>26</v>
      </c>
      <c r="J96" s="172">
        <v>10</v>
      </c>
      <c r="K96" s="83"/>
      <c r="L96" s="84">
        <f>+SUM(L94:L95)*J96%</f>
        <v>35.536000000000001</v>
      </c>
      <c r="O96" s="177"/>
    </row>
    <row r="97" spans="1:15" x14ac:dyDescent="0.25">
      <c r="A97" s="176"/>
      <c r="B97" s="80"/>
      <c r="C97" s="81" t="s">
        <v>69</v>
      </c>
      <c r="D97" s="82">
        <v>3</v>
      </c>
      <c r="E97" s="82">
        <f>+D97*E89</f>
        <v>225</v>
      </c>
      <c r="F97" s="82" t="s">
        <v>44</v>
      </c>
      <c r="G97" s="82" t="s">
        <v>14</v>
      </c>
      <c r="H97" s="82" t="s">
        <v>15</v>
      </c>
      <c r="I97" s="82" t="s">
        <v>15</v>
      </c>
      <c r="J97" s="91">
        <v>4.4444444444444444E-3</v>
      </c>
      <c r="K97" s="83">
        <f>+'Mat y mano obra'!C4</f>
        <v>20142</v>
      </c>
      <c r="L97" s="84">
        <f t="shared" si="6"/>
        <v>89.52</v>
      </c>
      <c r="O97" s="177"/>
    </row>
    <row r="98" spans="1:15" ht="15.75" thickBot="1" x14ac:dyDescent="0.3">
      <c r="A98" s="176"/>
      <c r="B98" s="86"/>
      <c r="C98" s="87" t="s">
        <v>49</v>
      </c>
      <c r="D98" s="88"/>
      <c r="E98" s="88"/>
      <c r="F98" s="88"/>
      <c r="G98" s="88"/>
      <c r="H98" s="88"/>
      <c r="I98" s="88" t="s">
        <v>26</v>
      </c>
      <c r="J98" s="88">
        <v>57</v>
      </c>
      <c r="K98" s="89" t="s">
        <v>27</v>
      </c>
      <c r="L98" s="90">
        <f>+(L94+L95+L97)*J98%</f>
        <v>253.58159999999998</v>
      </c>
      <c r="O98" s="177"/>
    </row>
    <row r="99" spans="1:15" x14ac:dyDescent="0.25">
      <c r="A99" s="176"/>
      <c r="O99" s="177"/>
    </row>
    <row r="100" spans="1:15" ht="15.75" thickBot="1" x14ac:dyDescent="0.3">
      <c r="A100" s="176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O100" s="177"/>
    </row>
    <row r="101" spans="1:15" x14ac:dyDescent="0.25">
      <c r="A101" s="176"/>
      <c r="B101" s="66" t="s">
        <v>0</v>
      </c>
      <c r="C101" s="67" t="s">
        <v>1</v>
      </c>
      <c r="D101" s="68"/>
      <c r="E101" s="68"/>
      <c r="F101" s="68"/>
      <c r="G101" s="68"/>
      <c r="H101" s="68"/>
      <c r="I101" s="67" t="s">
        <v>5</v>
      </c>
      <c r="J101" s="67" t="s">
        <v>6</v>
      </c>
      <c r="K101" s="67" t="s">
        <v>7</v>
      </c>
      <c r="L101" s="69" t="s">
        <v>8</v>
      </c>
      <c r="O101" s="177"/>
    </row>
    <row r="102" spans="1:15" ht="15.75" thickBot="1" x14ac:dyDescent="0.3">
      <c r="A102" s="176"/>
      <c r="B102" s="70"/>
      <c r="C102" s="71" t="s">
        <v>78</v>
      </c>
      <c r="D102" s="64"/>
      <c r="E102" s="64"/>
      <c r="F102" s="64"/>
      <c r="G102" s="64"/>
      <c r="H102" s="64"/>
      <c r="I102" s="72" t="s">
        <v>44</v>
      </c>
      <c r="J102" s="72">
        <v>1</v>
      </c>
      <c r="K102" s="65"/>
      <c r="L102" s="73">
        <f>+SUM(L104:L112)</f>
        <v>1540.9403076923079</v>
      </c>
      <c r="O102" s="177"/>
    </row>
    <row r="103" spans="1:15" x14ac:dyDescent="0.25">
      <c r="A103" s="176"/>
      <c r="B103" s="74"/>
      <c r="C103" s="75" t="s">
        <v>62</v>
      </c>
      <c r="D103" s="76"/>
      <c r="E103" s="185">
        <f>+rendimiento!D16</f>
        <v>65</v>
      </c>
      <c r="F103" s="76"/>
      <c r="G103" s="76"/>
      <c r="H103" s="76"/>
      <c r="I103" s="77"/>
      <c r="J103" s="77"/>
      <c r="K103" s="78"/>
      <c r="L103" s="79"/>
      <c r="O103" s="177"/>
    </row>
    <row r="104" spans="1:15" x14ac:dyDescent="0.25">
      <c r="A104" s="176"/>
      <c r="B104" s="80"/>
      <c r="C104" s="81" t="s">
        <v>63</v>
      </c>
      <c r="D104" s="82"/>
      <c r="E104" s="82"/>
      <c r="F104" s="82"/>
      <c r="G104" s="82"/>
      <c r="H104" s="82"/>
      <c r="I104" s="82" t="s">
        <v>44</v>
      </c>
      <c r="J104" s="82">
        <v>1.1000000000000001</v>
      </c>
      <c r="K104" s="83">
        <f>+J104*0.33*'APU DT-18'!C13+'Mat y mano obra'!C26</f>
        <v>623</v>
      </c>
      <c r="L104" s="84">
        <f>+K104*J104</f>
        <v>685.30000000000007</v>
      </c>
      <c r="O104" s="177"/>
    </row>
    <row r="105" spans="1:15" x14ac:dyDescent="0.25">
      <c r="A105" s="176"/>
      <c r="B105" s="80"/>
      <c r="C105" s="81" t="s">
        <v>64</v>
      </c>
      <c r="D105" s="82"/>
      <c r="E105" s="82"/>
      <c r="F105" s="82"/>
      <c r="G105" s="82"/>
      <c r="H105" s="82"/>
      <c r="I105" s="163" t="s">
        <v>44</v>
      </c>
      <c r="J105" s="163">
        <v>0.01</v>
      </c>
      <c r="K105" s="162">
        <f>+'Mat y mano obra'!C27</f>
        <v>872</v>
      </c>
      <c r="L105" s="84">
        <f t="shared" ref="L105:L111" si="7">+K105*J105</f>
        <v>8.7200000000000006</v>
      </c>
      <c r="O105" s="177"/>
    </row>
    <row r="106" spans="1:15" x14ac:dyDescent="0.25">
      <c r="A106" s="176"/>
      <c r="B106" s="80"/>
      <c r="C106" s="81" t="s">
        <v>28</v>
      </c>
      <c r="D106" s="82"/>
      <c r="E106" s="82"/>
      <c r="F106" s="82"/>
      <c r="G106" s="82"/>
      <c r="H106" s="82"/>
      <c r="I106" s="82"/>
      <c r="J106" s="82"/>
      <c r="K106" s="83"/>
      <c r="L106" s="84"/>
      <c r="O106" s="177"/>
    </row>
    <row r="107" spans="1:15" x14ac:dyDescent="0.25">
      <c r="A107" s="176"/>
      <c r="B107" s="80"/>
      <c r="C107" s="85" t="s">
        <v>65</v>
      </c>
      <c r="D107" s="82"/>
      <c r="E107" s="82"/>
      <c r="F107" s="82" t="s">
        <v>44</v>
      </c>
      <c r="G107" s="82" t="s">
        <v>14</v>
      </c>
      <c r="H107" s="82" t="s">
        <v>15</v>
      </c>
      <c r="I107" s="82" t="s">
        <v>15</v>
      </c>
      <c r="J107" s="91">
        <v>1.5384615384615385E-2</v>
      </c>
      <c r="K107" s="83"/>
      <c r="L107" s="84"/>
      <c r="O107" s="177"/>
    </row>
    <row r="108" spans="1:15" x14ac:dyDescent="0.25">
      <c r="A108" s="176"/>
      <c r="B108" s="80"/>
      <c r="C108" s="81" t="s">
        <v>66</v>
      </c>
      <c r="D108" s="82">
        <v>1</v>
      </c>
      <c r="E108" s="82">
        <f>+E103</f>
        <v>65</v>
      </c>
      <c r="F108" s="82" t="s">
        <v>44</v>
      </c>
      <c r="G108" s="82" t="s">
        <v>14</v>
      </c>
      <c r="H108" s="82" t="s">
        <v>35</v>
      </c>
      <c r="I108" s="82" t="s">
        <v>35</v>
      </c>
      <c r="J108" s="91">
        <v>1.5384615384615385E-2</v>
      </c>
      <c r="K108" s="83">
        <f>+'Mat y mano obra'!C5</f>
        <v>14806</v>
      </c>
      <c r="L108" s="84">
        <f t="shared" si="7"/>
        <v>227.78461538461539</v>
      </c>
      <c r="O108" s="177"/>
    </row>
    <row r="109" spans="1:15" x14ac:dyDescent="0.25">
      <c r="A109" s="176"/>
      <c r="B109" s="80"/>
      <c r="C109" s="81" t="s">
        <v>67</v>
      </c>
      <c r="D109" s="82">
        <v>1</v>
      </c>
      <c r="E109" s="82">
        <f>+E103</f>
        <v>65</v>
      </c>
      <c r="F109" s="82" t="s">
        <v>44</v>
      </c>
      <c r="G109" s="82" t="s">
        <v>14</v>
      </c>
      <c r="H109" s="82" t="s">
        <v>35</v>
      </c>
      <c r="I109" s="82" t="s">
        <v>35</v>
      </c>
      <c r="J109" s="91">
        <v>1.5384615384615385E-2</v>
      </c>
      <c r="K109" s="83">
        <f>+'Mat y mano obra'!C7</f>
        <v>11846</v>
      </c>
      <c r="L109" s="84">
        <f t="shared" si="7"/>
        <v>182.24615384615385</v>
      </c>
      <c r="O109" s="177"/>
    </row>
    <row r="110" spans="1:15" x14ac:dyDescent="0.25">
      <c r="A110" s="176"/>
      <c r="B110" s="80"/>
      <c r="C110" s="81" t="s">
        <v>68</v>
      </c>
      <c r="D110" s="82"/>
      <c r="E110" s="82"/>
      <c r="F110" s="82"/>
      <c r="G110" s="82"/>
      <c r="H110" s="82"/>
      <c r="I110" s="82" t="s">
        <v>26</v>
      </c>
      <c r="J110" s="172">
        <v>10</v>
      </c>
      <c r="K110" s="83"/>
      <c r="L110" s="84">
        <f>+SUM(L108:L109)*J110%</f>
        <v>41.003076923076925</v>
      </c>
      <c r="O110" s="177"/>
    </row>
    <row r="111" spans="1:15" x14ac:dyDescent="0.25">
      <c r="A111" s="176"/>
      <c r="B111" s="80"/>
      <c r="C111" s="81" t="s">
        <v>69</v>
      </c>
      <c r="D111" s="82">
        <v>3</v>
      </c>
      <c r="E111" s="82">
        <f>+D111*E103</f>
        <v>195</v>
      </c>
      <c r="F111" s="82" t="s">
        <v>44</v>
      </c>
      <c r="G111" s="82" t="s">
        <v>14</v>
      </c>
      <c r="H111" s="82" t="s">
        <v>15</v>
      </c>
      <c r="I111" s="82" t="s">
        <v>15</v>
      </c>
      <c r="J111" s="91">
        <v>5.1282051282051282E-3</v>
      </c>
      <c r="K111" s="83">
        <f>+'Mat y mano obra'!C4</f>
        <v>20142</v>
      </c>
      <c r="L111" s="84">
        <f t="shared" si="7"/>
        <v>103.29230769230769</v>
      </c>
      <c r="O111" s="177"/>
    </row>
    <row r="112" spans="1:15" ht="15.75" thickBot="1" x14ac:dyDescent="0.3">
      <c r="A112" s="176"/>
      <c r="B112" s="86"/>
      <c r="C112" s="87" t="s">
        <v>49</v>
      </c>
      <c r="D112" s="88"/>
      <c r="E112" s="88"/>
      <c r="F112" s="88"/>
      <c r="G112" s="88"/>
      <c r="H112" s="88"/>
      <c r="I112" s="88" t="s">
        <v>26</v>
      </c>
      <c r="J112" s="88">
        <v>57</v>
      </c>
      <c r="K112" s="89" t="s">
        <v>27</v>
      </c>
      <c r="L112" s="90">
        <f>+(L108+L109+L111)*J112%</f>
        <v>292.5941538461538</v>
      </c>
      <c r="O112" s="177"/>
    </row>
    <row r="113" spans="1:15" ht="15.75" thickBot="1" x14ac:dyDescent="0.3">
      <c r="A113" s="178"/>
      <c r="B113" s="179"/>
      <c r="C113" s="180"/>
      <c r="D113" s="179"/>
      <c r="E113" s="179"/>
      <c r="F113" s="179"/>
      <c r="G113" s="179"/>
      <c r="H113" s="179"/>
      <c r="I113" s="179"/>
      <c r="J113" s="179"/>
      <c r="K113" s="181"/>
      <c r="L113" s="182"/>
      <c r="M113" s="183"/>
      <c r="N113" s="183"/>
      <c r="O113" s="184"/>
    </row>
    <row r="114" spans="1:15" ht="15.75" thickBot="1" x14ac:dyDescent="0.3">
      <c r="B114" s="93"/>
      <c r="C114" s="94"/>
      <c r="D114" s="93"/>
      <c r="E114" s="93"/>
      <c r="F114" s="93"/>
      <c r="G114" s="93"/>
      <c r="H114" s="93"/>
      <c r="I114" s="93"/>
      <c r="J114" s="93"/>
      <c r="K114" s="95"/>
      <c r="L114" s="96"/>
    </row>
    <row r="115" spans="1:15" x14ac:dyDescent="0.25">
      <c r="B115" s="66" t="s">
        <v>0</v>
      </c>
      <c r="C115" s="67" t="s">
        <v>1</v>
      </c>
      <c r="D115" s="68"/>
      <c r="E115" s="68"/>
      <c r="F115" s="68"/>
      <c r="G115" s="68"/>
      <c r="H115" s="68"/>
      <c r="I115" s="67" t="s">
        <v>5</v>
      </c>
      <c r="J115" s="67" t="s">
        <v>6</v>
      </c>
      <c r="K115" s="67" t="s">
        <v>7</v>
      </c>
      <c r="L115" s="69" t="s">
        <v>8</v>
      </c>
    </row>
    <row r="116" spans="1:15" ht="15.75" thickBot="1" x14ac:dyDescent="0.3">
      <c r="B116" s="70"/>
      <c r="C116" s="71" t="s">
        <v>80</v>
      </c>
      <c r="D116" s="64"/>
      <c r="E116" s="64"/>
      <c r="F116" s="64"/>
      <c r="G116" s="64"/>
      <c r="H116" s="64"/>
      <c r="I116" s="72" t="s">
        <v>79</v>
      </c>
      <c r="J116" s="72">
        <v>1</v>
      </c>
      <c r="K116" s="65"/>
      <c r="L116" s="73">
        <f>+SUM(L118:L126)</f>
        <v>2416.7941538461537</v>
      </c>
    </row>
    <row r="117" spans="1:15" x14ac:dyDescent="0.25">
      <c r="B117" s="74"/>
      <c r="C117" s="75" t="s">
        <v>62</v>
      </c>
      <c r="D117" s="76"/>
      <c r="E117" s="185">
        <f>+rendimiento!D17</f>
        <v>65</v>
      </c>
      <c r="F117" s="76"/>
      <c r="G117" s="76"/>
      <c r="H117" s="76"/>
      <c r="I117" s="77"/>
      <c r="J117" s="77"/>
      <c r="K117" s="78"/>
      <c r="L117" s="79"/>
    </row>
    <row r="118" spans="1:15" x14ac:dyDescent="0.25">
      <c r="B118" s="80"/>
      <c r="C118" s="81" t="s">
        <v>80</v>
      </c>
      <c r="D118" s="82">
        <v>1</v>
      </c>
      <c r="E118" s="82">
        <v>13</v>
      </c>
      <c r="F118" s="82"/>
      <c r="G118" s="82"/>
      <c r="H118" s="91"/>
      <c r="I118" s="82" t="s">
        <v>73</v>
      </c>
      <c r="J118" s="92">
        <f>+D118/E118/D118</f>
        <v>7.6923076923076927E-2</v>
      </c>
      <c r="K118" s="162">
        <f>+'Mat y mano obra'!C28+0.33*28.34*'APU DT-18'!C13</f>
        <v>20295</v>
      </c>
      <c r="L118" s="84">
        <f>+K118*J118</f>
        <v>1561.1538461538462</v>
      </c>
    </row>
    <row r="119" spans="1:15" x14ac:dyDescent="0.25">
      <c r="B119" s="80"/>
      <c r="C119" s="81" t="s">
        <v>64</v>
      </c>
      <c r="D119" s="82"/>
      <c r="E119" s="82"/>
      <c r="F119" s="82"/>
      <c r="G119" s="82"/>
      <c r="H119" s="82"/>
      <c r="I119" s="163" t="s">
        <v>44</v>
      </c>
      <c r="J119" s="163">
        <v>0.01</v>
      </c>
      <c r="K119" s="162">
        <f>+'Mat y mano obra'!C27</f>
        <v>872</v>
      </c>
      <c r="L119" s="84">
        <f t="shared" ref="L119:L125" si="8">+K119*J119</f>
        <v>8.7200000000000006</v>
      </c>
    </row>
    <row r="120" spans="1:15" x14ac:dyDescent="0.25">
      <c r="B120" s="80"/>
      <c r="C120" s="81" t="s">
        <v>28</v>
      </c>
      <c r="D120" s="82"/>
      <c r="E120" s="82"/>
      <c r="F120" s="82"/>
      <c r="G120" s="82"/>
      <c r="H120" s="82"/>
      <c r="I120" s="82"/>
      <c r="J120" s="82"/>
      <c r="K120" s="83"/>
      <c r="L120" s="84"/>
    </row>
    <row r="121" spans="1:15" x14ac:dyDescent="0.25">
      <c r="B121" s="80"/>
      <c r="C121" s="85" t="s">
        <v>65</v>
      </c>
      <c r="D121" s="82"/>
      <c r="E121" s="82"/>
      <c r="F121" s="82" t="s">
        <v>79</v>
      </c>
      <c r="G121" s="82" t="s">
        <v>14</v>
      </c>
      <c r="H121" s="82" t="s">
        <v>15</v>
      </c>
      <c r="I121" s="82" t="s">
        <v>15</v>
      </c>
      <c r="J121" s="91"/>
      <c r="K121" s="83"/>
      <c r="L121" s="84"/>
    </row>
    <row r="122" spans="1:15" x14ac:dyDescent="0.25">
      <c r="B122" s="80"/>
      <c r="C122" s="81" t="s">
        <v>66</v>
      </c>
      <c r="D122" s="82">
        <v>1</v>
      </c>
      <c r="E122" s="82">
        <f>+E117</f>
        <v>65</v>
      </c>
      <c r="F122" s="82" t="s">
        <v>79</v>
      </c>
      <c r="G122" s="82" t="s">
        <v>14</v>
      </c>
      <c r="H122" s="82" t="s">
        <v>35</v>
      </c>
      <c r="I122" s="82" t="s">
        <v>35</v>
      </c>
      <c r="J122" s="91">
        <f>+D122/E122/D122</f>
        <v>1.5384615384615385E-2</v>
      </c>
      <c r="K122" s="83">
        <f>+'Mat y mano obra'!C5</f>
        <v>14806</v>
      </c>
      <c r="L122" s="84">
        <f t="shared" si="8"/>
        <v>227.78461538461539</v>
      </c>
    </row>
    <row r="123" spans="1:15" x14ac:dyDescent="0.25">
      <c r="B123" s="80"/>
      <c r="C123" s="81" t="s">
        <v>67</v>
      </c>
      <c r="D123" s="82">
        <v>1</v>
      </c>
      <c r="E123" s="82">
        <v>65</v>
      </c>
      <c r="F123" s="82" t="s">
        <v>79</v>
      </c>
      <c r="G123" s="82" t="s">
        <v>14</v>
      </c>
      <c r="H123" s="82" t="s">
        <v>35</v>
      </c>
      <c r="I123" s="82" t="s">
        <v>35</v>
      </c>
      <c r="J123" s="91">
        <f>+D123/E123/D123</f>
        <v>1.5384615384615385E-2</v>
      </c>
      <c r="K123" s="83">
        <f>+'Mat y mano obra'!C7</f>
        <v>11846</v>
      </c>
      <c r="L123" s="84">
        <f t="shared" si="8"/>
        <v>182.24615384615385</v>
      </c>
    </row>
    <row r="124" spans="1:15" x14ac:dyDescent="0.25">
      <c r="B124" s="80"/>
      <c r="C124" s="81" t="s">
        <v>68</v>
      </c>
      <c r="D124" s="82"/>
      <c r="E124" s="82"/>
      <c r="F124" s="82"/>
      <c r="G124" s="82"/>
      <c r="H124" s="82"/>
      <c r="I124" s="82" t="s">
        <v>26</v>
      </c>
      <c r="J124" s="172">
        <v>10</v>
      </c>
      <c r="K124" s="83"/>
      <c r="L124" s="84">
        <f>+SUM(L122:L123)*J124%</f>
        <v>41.003076923076925</v>
      </c>
    </row>
    <row r="125" spans="1:15" x14ac:dyDescent="0.25">
      <c r="B125" s="80"/>
      <c r="C125" s="81" t="s">
        <v>69</v>
      </c>
      <c r="D125" s="82">
        <v>3</v>
      </c>
      <c r="E125" s="82">
        <f>+E117*D125</f>
        <v>195</v>
      </c>
      <c r="F125" s="82" t="s">
        <v>79</v>
      </c>
      <c r="G125" s="82" t="s">
        <v>14</v>
      </c>
      <c r="H125" s="82" t="s">
        <v>15</v>
      </c>
      <c r="I125" s="82" t="s">
        <v>15</v>
      </c>
      <c r="J125" s="91">
        <f>+D125/E125/D125</f>
        <v>5.1282051282051282E-3</v>
      </c>
      <c r="K125" s="83">
        <f>+'Mat y mano obra'!C4</f>
        <v>20142</v>
      </c>
      <c r="L125" s="84">
        <f t="shared" si="8"/>
        <v>103.29230769230769</v>
      </c>
    </row>
    <row r="126" spans="1:15" ht="15.75" thickBot="1" x14ac:dyDescent="0.3">
      <c r="B126" s="86"/>
      <c r="C126" s="87" t="s">
        <v>49</v>
      </c>
      <c r="D126" s="88"/>
      <c r="E126" s="88"/>
      <c r="F126" s="88"/>
      <c r="G126" s="88"/>
      <c r="H126" s="88"/>
      <c r="I126" s="88" t="s">
        <v>26</v>
      </c>
      <c r="J126" s="88">
        <v>57</v>
      </c>
      <c r="K126" s="89" t="s">
        <v>27</v>
      </c>
      <c r="L126" s="90">
        <f>+(L122+L123+L125)*J126%</f>
        <v>292.5941538461538</v>
      </c>
    </row>
    <row r="128" spans="1:15" ht="15.75" thickBot="1" x14ac:dyDescent="0.3"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</row>
    <row r="129" spans="2:12" x14ac:dyDescent="0.25">
      <c r="B129" s="66" t="s">
        <v>0</v>
      </c>
      <c r="C129" s="67" t="s">
        <v>1</v>
      </c>
      <c r="D129" s="68"/>
      <c r="E129" s="68"/>
      <c r="F129" s="68"/>
      <c r="G129" s="68"/>
      <c r="H129" s="68"/>
      <c r="I129" s="67" t="s">
        <v>5</v>
      </c>
      <c r="J129" s="67" t="s">
        <v>6</v>
      </c>
      <c r="K129" s="67" t="s">
        <v>7</v>
      </c>
      <c r="L129" s="69" t="s">
        <v>8</v>
      </c>
    </row>
    <row r="130" spans="2:12" ht="15.75" thickBot="1" x14ac:dyDescent="0.3">
      <c r="B130" s="70"/>
      <c r="C130" s="71" t="s">
        <v>81</v>
      </c>
      <c r="D130" s="64"/>
      <c r="E130" s="64"/>
      <c r="F130" s="64"/>
      <c r="G130" s="64"/>
      <c r="H130" s="64"/>
      <c r="I130" s="72" t="s">
        <v>79</v>
      </c>
      <c r="J130" s="72">
        <v>1</v>
      </c>
      <c r="K130" s="65"/>
      <c r="L130" s="73">
        <f>+SUM(L132:L140)</f>
        <v>3212.7941538461537</v>
      </c>
    </row>
    <row r="131" spans="2:12" x14ac:dyDescent="0.25">
      <c r="B131" s="74"/>
      <c r="C131" s="75" t="s">
        <v>62</v>
      </c>
      <c r="D131" s="76"/>
      <c r="E131" s="185">
        <f>+rendimiento!D18</f>
        <v>65</v>
      </c>
      <c r="F131" s="76"/>
      <c r="G131" s="76"/>
      <c r="H131" s="76"/>
      <c r="I131" s="77"/>
      <c r="J131" s="77"/>
      <c r="K131" s="78"/>
      <c r="L131" s="79"/>
    </row>
    <row r="132" spans="2:12" x14ac:dyDescent="0.25">
      <c r="B132" s="80"/>
      <c r="C132" s="81" t="s">
        <v>81</v>
      </c>
      <c r="D132" s="82">
        <v>1</v>
      </c>
      <c r="E132" s="82">
        <v>13</v>
      </c>
      <c r="F132" s="82"/>
      <c r="G132" s="82"/>
      <c r="H132" s="82"/>
      <c r="I132" s="82" t="s">
        <v>73</v>
      </c>
      <c r="J132" s="92">
        <f>+D132/E132/D132</f>
        <v>7.6923076923076927E-2</v>
      </c>
      <c r="K132" s="162">
        <f>+'Mat y mano obra'!C29+28.34*0.33*'APU DT-18'!C13</f>
        <v>30643</v>
      </c>
      <c r="L132" s="84">
        <f>+K132*J132</f>
        <v>2357.1538461538462</v>
      </c>
    </row>
    <row r="133" spans="2:12" x14ac:dyDescent="0.25">
      <c r="B133" s="80"/>
      <c r="C133" s="81" t="s">
        <v>64</v>
      </c>
      <c r="D133" s="82"/>
      <c r="E133" s="82"/>
      <c r="F133" s="82"/>
      <c r="G133" s="82"/>
      <c r="H133" s="82"/>
      <c r="I133" s="163" t="s">
        <v>44</v>
      </c>
      <c r="J133" s="163">
        <v>0.01</v>
      </c>
      <c r="K133" s="162">
        <f>+'Mat y mano obra'!C27</f>
        <v>872</v>
      </c>
      <c r="L133" s="84">
        <f t="shared" ref="L133:L139" si="9">+K133*J133</f>
        <v>8.7200000000000006</v>
      </c>
    </row>
    <row r="134" spans="2:12" x14ac:dyDescent="0.25">
      <c r="B134" s="80"/>
      <c r="C134" s="81" t="s">
        <v>28</v>
      </c>
      <c r="D134" s="82"/>
      <c r="E134" s="82"/>
      <c r="F134" s="82"/>
      <c r="G134" s="82"/>
      <c r="H134" s="82"/>
      <c r="I134" s="82"/>
      <c r="J134" s="82"/>
      <c r="K134" s="83"/>
      <c r="L134" s="84"/>
    </row>
    <row r="135" spans="2:12" x14ac:dyDescent="0.25">
      <c r="B135" s="80"/>
      <c r="C135" s="85" t="s">
        <v>65</v>
      </c>
      <c r="D135" s="82"/>
      <c r="E135" s="82"/>
      <c r="F135" s="82" t="s">
        <v>79</v>
      </c>
      <c r="G135" s="82" t="s">
        <v>14</v>
      </c>
      <c r="H135" s="82" t="s">
        <v>15</v>
      </c>
      <c r="I135" s="82" t="s">
        <v>15</v>
      </c>
      <c r="J135" s="91"/>
      <c r="K135" s="83"/>
      <c r="L135" s="84"/>
    </row>
    <row r="136" spans="2:12" x14ac:dyDescent="0.25">
      <c r="B136" s="80"/>
      <c r="C136" s="81" t="s">
        <v>66</v>
      </c>
      <c r="D136" s="82">
        <v>1</v>
      </c>
      <c r="E136" s="82">
        <f>+E131</f>
        <v>65</v>
      </c>
      <c r="F136" s="82" t="s">
        <v>79</v>
      </c>
      <c r="G136" s="82" t="s">
        <v>14</v>
      </c>
      <c r="H136" s="82" t="s">
        <v>35</v>
      </c>
      <c r="I136" s="82" t="s">
        <v>35</v>
      </c>
      <c r="J136" s="91">
        <f>+D136/E136/D136</f>
        <v>1.5384615384615385E-2</v>
      </c>
      <c r="K136" s="83">
        <f>+'Mat y mano obra'!C5</f>
        <v>14806</v>
      </c>
      <c r="L136" s="84">
        <f t="shared" si="9"/>
        <v>227.78461538461539</v>
      </c>
    </row>
    <row r="137" spans="2:12" x14ac:dyDescent="0.25">
      <c r="B137" s="80"/>
      <c r="C137" s="81" t="s">
        <v>67</v>
      </c>
      <c r="D137" s="82">
        <v>1</v>
      </c>
      <c r="E137" s="82">
        <v>65</v>
      </c>
      <c r="F137" s="82" t="s">
        <v>79</v>
      </c>
      <c r="G137" s="82" t="s">
        <v>14</v>
      </c>
      <c r="H137" s="82" t="s">
        <v>35</v>
      </c>
      <c r="I137" s="82" t="s">
        <v>35</v>
      </c>
      <c r="J137" s="91">
        <f>+D137/E137/D137</f>
        <v>1.5384615384615385E-2</v>
      </c>
      <c r="K137" s="83">
        <f>+'Mat y mano obra'!C7</f>
        <v>11846</v>
      </c>
      <c r="L137" s="84">
        <f t="shared" si="9"/>
        <v>182.24615384615385</v>
      </c>
    </row>
    <row r="138" spans="2:12" x14ac:dyDescent="0.25">
      <c r="B138" s="80"/>
      <c r="C138" s="81" t="s">
        <v>68</v>
      </c>
      <c r="D138" s="82"/>
      <c r="E138" s="82"/>
      <c r="F138" s="82"/>
      <c r="G138" s="82"/>
      <c r="H138" s="82"/>
      <c r="I138" s="82" t="s">
        <v>26</v>
      </c>
      <c r="J138" s="172">
        <v>10</v>
      </c>
      <c r="K138" s="83"/>
      <c r="L138" s="84">
        <f>+SUM(L136:L137)*J138%</f>
        <v>41.003076923076925</v>
      </c>
    </row>
    <row r="139" spans="2:12" x14ac:dyDescent="0.25">
      <c r="B139" s="80"/>
      <c r="C139" s="81" t="s">
        <v>69</v>
      </c>
      <c r="D139" s="82">
        <v>3</v>
      </c>
      <c r="E139" s="82">
        <f>+E131*D139</f>
        <v>195</v>
      </c>
      <c r="F139" s="82" t="s">
        <v>79</v>
      </c>
      <c r="G139" s="82" t="s">
        <v>14</v>
      </c>
      <c r="H139" s="82" t="s">
        <v>15</v>
      </c>
      <c r="I139" s="82" t="s">
        <v>15</v>
      </c>
      <c r="J139" s="91">
        <f>+D139/E139/D139</f>
        <v>5.1282051282051282E-3</v>
      </c>
      <c r="K139" s="83">
        <f>+'Mat y mano obra'!C4</f>
        <v>20142</v>
      </c>
      <c r="L139" s="84">
        <f t="shared" si="9"/>
        <v>103.29230769230769</v>
      </c>
    </row>
    <row r="140" spans="2:12" ht="15.75" thickBot="1" x14ac:dyDescent="0.3">
      <c r="B140" s="86"/>
      <c r="C140" s="87" t="s">
        <v>49</v>
      </c>
      <c r="D140" s="88"/>
      <c r="E140" s="88"/>
      <c r="F140" s="88"/>
      <c r="G140" s="88"/>
      <c r="H140" s="88"/>
      <c r="I140" s="88" t="s">
        <v>26</v>
      </c>
      <c r="J140" s="88">
        <v>57</v>
      </c>
      <c r="K140" s="89" t="s">
        <v>27</v>
      </c>
      <c r="L140" s="90">
        <f>+(L136+L137+L139)*J140%</f>
        <v>292.5941538461538</v>
      </c>
    </row>
    <row r="142" spans="2:12" ht="15.75" thickBot="1" x14ac:dyDescent="0.3"/>
    <row r="143" spans="2:12" x14ac:dyDescent="0.25">
      <c r="B143" s="66" t="s">
        <v>0</v>
      </c>
      <c r="C143" s="67" t="s">
        <v>1</v>
      </c>
      <c r="D143" s="68"/>
      <c r="E143" s="68"/>
      <c r="F143" s="68"/>
      <c r="G143" s="68"/>
      <c r="H143" s="68"/>
      <c r="I143" s="67" t="s">
        <v>5</v>
      </c>
      <c r="J143" s="67" t="s">
        <v>6</v>
      </c>
      <c r="K143" s="67" t="s">
        <v>7</v>
      </c>
      <c r="L143" s="69" t="s">
        <v>8</v>
      </c>
    </row>
    <row r="144" spans="2:12" ht="15.75" thickBot="1" x14ac:dyDescent="0.3">
      <c r="B144" s="70"/>
      <c r="C144" s="71" t="s">
        <v>82</v>
      </c>
      <c r="D144" s="64"/>
      <c r="E144" s="64"/>
      <c r="F144" s="64"/>
      <c r="G144" s="64"/>
      <c r="H144" s="64"/>
      <c r="I144" s="72" t="s">
        <v>79</v>
      </c>
      <c r="J144" s="72">
        <v>1</v>
      </c>
      <c r="K144" s="65"/>
      <c r="L144" s="73">
        <f>+SUM(L146:L154)</f>
        <v>4094.5633846153846</v>
      </c>
    </row>
    <row r="145" spans="2:12" x14ac:dyDescent="0.25">
      <c r="B145" s="74"/>
      <c r="C145" s="75" t="s">
        <v>62</v>
      </c>
      <c r="D145" s="76"/>
      <c r="E145" s="185">
        <f>+rendimiento!D19</f>
        <v>65</v>
      </c>
      <c r="F145" s="76"/>
      <c r="G145" s="76"/>
      <c r="H145" s="76"/>
      <c r="I145" s="77"/>
      <c r="J145" s="77"/>
      <c r="K145" s="78"/>
      <c r="L145" s="79"/>
    </row>
    <row r="146" spans="2:12" x14ac:dyDescent="0.25">
      <c r="B146" s="80"/>
      <c r="C146" s="81" t="s">
        <v>82</v>
      </c>
      <c r="D146" s="82">
        <v>1</v>
      </c>
      <c r="E146" s="82">
        <v>13</v>
      </c>
      <c r="F146" s="82"/>
      <c r="G146" s="82"/>
      <c r="H146" s="82"/>
      <c r="I146" s="82" t="s">
        <v>73</v>
      </c>
      <c r="J146" s="92">
        <f>+D146/E146/D146</f>
        <v>7.6923076923076927E-2</v>
      </c>
      <c r="K146" s="162">
        <f>+'Mat y mano obra'!C30+0.33*39.03*'APU DT-18'!C13</f>
        <v>42106</v>
      </c>
      <c r="L146" s="84">
        <f>+K146*J146</f>
        <v>3238.9230769230771</v>
      </c>
    </row>
    <row r="147" spans="2:12" x14ac:dyDescent="0.25">
      <c r="B147" s="80"/>
      <c r="C147" s="81" t="s">
        <v>64</v>
      </c>
      <c r="D147" s="82"/>
      <c r="E147" s="82"/>
      <c r="F147" s="82"/>
      <c r="G147" s="82"/>
      <c r="H147" s="82"/>
      <c r="I147" s="163" t="s">
        <v>44</v>
      </c>
      <c r="J147" s="163">
        <v>0.01</v>
      </c>
      <c r="K147" s="162">
        <f>+'Mat y mano obra'!C27</f>
        <v>872</v>
      </c>
      <c r="L147" s="84">
        <f t="shared" ref="L147:L153" si="10">+K147*J147</f>
        <v>8.7200000000000006</v>
      </c>
    </row>
    <row r="148" spans="2:12" x14ac:dyDescent="0.25">
      <c r="B148" s="80"/>
      <c r="C148" s="81" t="s">
        <v>28</v>
      </c>
      <c r="D148" s="82"/>
      <c r="E148" s="82"/>
      <c r="F148" s="82"/>
      <c r="G148" s="82"/>
      <c r="H148" s="82"/>
      <c r="I148" s="82"/>
      <c r="J148" s="82"/>
      <c r="K148" s="83"/>
      <c r="L148" s="84"/>
    </row>
    <row r="149" spans="2:12" x14ac:dyDescent="0.25">
      <c r="B149" s="80"/>
      <c r="C149" s="85" t="s">
        <v>65</v>
      </c>
      <c r="D149" s="82"/>
      <c r="E149" s="82"/>
      <c r="F149" s="82" t="s">
        <v>79</v>
      </c>
      <c r="G149" s="82" t="s">
        <v>14</v>
      </c>
      <c r="H149" s="82" t="s">
        <v>15</v>
      </c>
      <c r="I149" s="82" t="s">
        <v>15</v>
      </c>
      <c r="J149" s="91"/>
      <c r="K149" s="83"/>
      <c r="L149" s="84"/>
    </row>
    <row r="150" spans="2:12" x14ac:dyDescent="0.25">
      <c r="B150" s="80"/>
      <c r="C150" s="81" t="s">
        <v>66</v>
      </c>
      <c r="D150" s="82">
        <v>1</v>
      </c>
      <c r="E150" s="82">
        <f>+E145</f>
        <v>65</v>
      </c>
      <c r="F150" s="82" t="s">
        <v>79</v>
      </c>
      <c r="G150" s="82" t="s">
        <v>14</v>
      </c>
      <c r="H150" s="82" t="s">
        <v>35</v>
      </c>
      <c r="I150" s="82" t="s">
        <v>35</v>
      </c>
      <c r="J150" s="91">
        <f>+D150/E150/D150</f>
        <v>1.5384615384615385E-2</v>
      </c>
      <c r="K150" s="83">
        <f>+'Mat y mano obra'!C5</f>
        <v>14806</v>
      </c>
      <c r="L150" s="84">
        <f t="shared" si="10"/>
        <v>227.78461538461539</v>
      </c>
    </row>
    <row r="151" spans="2:12" x14ac:dyDescent="0.25">
      <c r="B151" s="80"/>
      <c r="C151" s="81" t="s">
        <v>67</v>
      </c>
      <c r="D151" s="82">
        <v>1</v>
      </c>
      <c r="E151" s="82">
        <v>65</v>
      </c>
      <c r="F151" s="82" t="s">
        <v>79</v>
      </c>
      <c r="G151" s="82" t="s">
        <v>14</v>
      </c>
      <c r="H151" s="82" t="s">
        <v>35</v>
      </c>
      <c r="I151" s="82" t="s">
        <v>35</v>
      </c>
      <c r="J151" s="91">
        <f>+D151/E151/D151</f>
        <v>1.5384615384615385E-2</v>
      </c>
      <c r="K151" s="83">
        <f>+'Mat y mano obra'!C7</f>
        <v>11846</v>
      </c>
      <c r="L151" s="84">
        <f t="shared" si="10"/>
        <v>182.24615384615385</v>
      </c>
    </row>
    <row r="152" spans="2:12" x14ac:dyDescent="0.25">
      <c r="B152" s="80"/>
      <c r="C152" s="81" t="s">
        <v>68</v>
      </c>
      <c r="D152" s="82"/>
      <c r="E152" s="82"/>
      <c r="F152" s="82"/>
      <c r="G152" s="82"/>
      <c r="H152" s="82"/>
      <c r="I152" s="82" t="s">
        <v>26</v>
      </c>
      <c r="J152" s="172">
        <v>10</v>
      </c>
      <c r="K152" s="83"/>
      <c r="L152" s="84">
        <f>+SUM(L150:L151)*J152%</f>
        <v>41.003076923076925</v>
      </c>
    </row>
    <row r="153" spans="2:12" x14ac:dyDescent="0.25">
      <c r="B153" s="80"/>
      <c r="C153" s="81" t="s">
        <v>69</v>
      </c>
      <c r="D153" s="82">
        <v>3</v>
      </c>
      <c r="E153" s="82">
        <f>+E145*D153</f>
        <v>195</v>
      </c>
      <c r="F153" s="82" t="s">
        <v>79</v>
      </c>
      <c r="G153" s="82" t="s">
        <v>14</v>
      </c>
      <c r="H153" s="82" t="s">
        <v>15</v>
      </c>
      <c r="I153" s="82" t="s">
        <v>15</v>
      </c>
      <c r="J153" s="91">
        <f>+D153/E153/D153</f>
        <v>5.1282051282051282E-3</v>
      </c>
      <c r="K153" s="83">
        <f>+'Mat y mano obra'!C4</f>
        <v>20142</v>
      </c>
      <c r="L153" s="84">
        <f t="shared" si="10"/>
        <v>103.29230769230769</v>
      </c>
    </row>
    <row r="154" spans="2:12" ht="15.75" thickBot="1" x14ac:dyDescent="0.3">
      <c r="B154" s="86"/>
      <c r="C154" s="87" t="s">
        <v>49</v>
      </c>
      <c r="D154" s="88"/>
      <c r="E154" s="88"/>
      <c r="F154" s="88"/>
      <c r="G154" s="88"/>
      <c r="H154" s="88"/>
      <c r="I154" s="88" t="s">
        <v>26</v>
      </c>
      <c r="J154" s="88">
        <v>57</v>
      </c>
      <c r="K154" s="89" t="s">
        <v>27</v>
      </c>
      <c r="L154" s="90">
        <f>+(L150+L151+L153)*J154%</f>
        <v>292.5941538461538</v>
      </c>
    </row>
    <row r="156" spans="2:12" ht="15.75" thickBot="1" x14ac:dyDescent="0.3"/>
    <row r="157" spans="2:12" x14ac:dyDescent="0.25">
      <c r="B157" s="66" t="s">
        <v>0</v>
      </c>
      <c r="C157" s="67" t="s">
        <v>1</v>
      </c>
      <c r="D157" s="68"/>
      <c r="E157" s="68"/>
      <c r="F157" s="68"/>
      <c r="G157" s="68"/>
      <c r="H157" s="68"/>
      <c r="I157" s="67" t="s">
        <v>5</v>
      </c>
      <c r="J157" s="67" t="s">
        <v>6</v>
      </c>
      <c r="K157" s="67" t="s">
        <v>7</v>
      </c>
      <c r="L157" s="69" t="s">
        <v>8</v>
      </c>
    </row>
    <row r="158" spans="2:12" ht="15.75" thickBot="1" x14ac:dyDescent="0.3">
      <c r="B158" s="70"/>
      <c r="C158" s="71" t="s">
        <v>128</v>
      </c>
      <c r="D158" s="64"/>
      <c r="E158" s="64"/>
      <c r="F158" s="64"/>
      <c r="G158" s="64"/>
      <c r="H158" s="64"/>
      <c r="I158" s="72" t="s">
        <v>79</v>
      </c>
      <c r="J158" s="72">
        <v>1</v>
      </c>
      <c r="K158" s="65"/>
      <c r="L158" s="73">
        <f>+SUM(L160:L168)</f>
        <v>4321.5133846153849</v>
      </c>
    </row>
    <row r="159" spans="2:12" x14ac:dyDescent="0.25">
      <c r="B159" s="74"/>
      <c r="C159" s="75" t="s">
        <v>62</v>
      </c>
      <c r="D159" s="76"/>
      <c r="E159" s="185">
        <f>+rendimiento!D20</f>
        <v>52</v>
      </c>
      <c r="F159" s="76"/>
      <c r="G159" s="76"/>
      <c r="H159" s="76"/>
      <c r="I159" s="77"/>
      <c r="J159" s="77"/>
      <c r="K159" s="78"/>
      <c r="L159" s="79"/>
    </row>
    <row r="160" spans="2:12" x14ac:dyDescent="0.25">
      <c r="B160" s="80"/>
      <c r="C160" s="81" t="s">
        <v>129</v>
      </c>
      <c r="D160" s="82">
        <v>1</v>
      </c>
      <c r="E160" s="82">
        <v>13</v>
      </c>
      <c r="F160" s="82"/>
      <c r="G160" s="82"/>
      <c r="H160" s="82"/>
      <c r="I160" s="82" t="s">
        <v>73</v>
      </c>
      <c r="J160" s="92">
        <f>+D160/E160/D160</f>
        <v>7.6923076923076927E-2</v>
      </c>
      <c r="K160" s="83">
        <f>+'Mat y mano obra'!C31+0.33*40.04*'APU DT-18'!C13</f>
        <v>43293</v>
      </c>
      <c r="L160" s="84">
        <f>+K160*J160</f>
        <v>3330.2307692307695</v>
      </c>
    </row>
    <row r="161" spans="2:12" x14ac:dyDescent="0.25">
      <c r="B161" s="80"/>
      <c r="C161" s="81" t="s">
        <v>64</v>
      </c>
      <c r="D161" s="82"/>
      <c r="E161" s="82"/>
      <c r="F161" s="82"/>
      <c r="G161" s="82"/>
      <c r="H161" s="82"/>
      <c r="I161" s="163" t="s">
        <v>44</v>
      </c>
      <c r="J161" s="163">
        <v>0.01</v>
      </c>
      <c r="K161" s="162">
        <f>+'Mat y mano obra'!C27</f>
        <v>872</v>
      </c>
      <c r="L161" s="84">
        <f t="shared" ref="L161:L167" si="11">+K161*J161</f>
        <v>8.7200000000000006</v>
      </c>
    </row>
    <row r="162" spans="2:12" x14ac:dyDescent="0.25">
      <c r="B162" s="80"/>
      <c r="C162" s="81" t="s">
        <v>28</v>
      </c>
      <c r="D162" s="82"/>
      <c r="E162" s="82"/>
      <c r="F162" s="82"/>
      <c r="G162" s="82"/>
      <c r="H162" s="82"/>
      <c r="I162" s="82"/>
      <c r="J162" s="82"/>
      <c r="K162" s="83"/>
      <c r="L162" s="84"/>
    </row>
    <row r="163" spans="2:12" x14ac:dyDescent="0.25">
      <c r="B163" s="80"/>
      <c r="C163" s="85" t="s">
        <v>65</v>
      </c>
      <c r="D163" s="82"/>
      <c r="E163" s="82"/>
      <c r="F163" s="82" t="s">
        <v>79</v>
      </c>
      <c r="G163" s="82" t="s">
        <v>14</v>
      </c>
      <c r="H163" s="82" t="s">
        <v>15</v>
      </c>
      <c r="I163" s="82" t="s">
        <v>15</v>
      </c>
      <c r="J163" s="91"/>
      <c r="K163" s="83"/>
      <c r="L163" s="84"/>
    </row>
    <row r="164" spans="2:12" x14ac:dyDescent="0.25">
      <c r="B164" s="80"/>
      <c r="C164" s="81" t="s">
        <v>66</v>
      </c>
      <c r="D164" s="82">
        <v>1</v>
      </c>
      <c r="E164" s="82">
        <f>+E159</f>
        <v>52</v>
      </c>
      <c r="F164" s="82" t="s">
        <v>79</v>
      </c>
      <c r="G164" s="82" t="s">
        <v>14</v>
      </c>
      <c r="H164" s="82" t="s">
        <v>35</v>
      </c>
      <c r="I164" s="82" t="s">
        <v>35</v>
      </c>
      <c r="J164" s="91">
        <f>+D164/E164/D164</f>
        <v>1.9230769230769232E-2</v>
      </c>
      <c r="K164" s="83">
        <f>+'Mat y mano obra'!C5</f>
        <v>14806</v>
      </c>
      <c r="L164" s="84">
        <f t="shared" si="11"/>
        <v>284.73076923076923</v>
      </c>
    </row>
    <row r="165" spans="2:12" x14ac:dyDescent="0.25">
      <c r="B165" s="80"/>
      <c r="C165" s="81" t="s">
        <v>67</v>
      </c>
      <c r="D165" s="82">
        <v>1</v>
      </c>
      <c r="E165" s="82">
        <v>65</v>
      </c>
      <c r="F165" s="82" t="s">
        <v>79</v>
      </c>
      <c r="G165" s="82" t="s">
        <v>14</v>
      </c>
      <c r="H165" s="82" t="s">
        <v>35</v>
      </c>
      <c r="I165" s="82" t="s">
        <v>35</v>
      </c>
      <c r="J165" s="91">
        <f>+D165/E165/D165</f>
        <v>1.5384615384615385E-2</v>
      </c>
      <c r="K165" s="83">
        <f>+'Mat y mano obra'!C7</f>
        <v>11846</v>
      </c>
      <c r="L165" s="84">
        <f t="shared" si="11"/>
        <v>182.24615384615385</v>
      </c>
    </row>
    <row r="166" spans="2:12" x14ac:dyDescent="0.25">
      <c r="B166" s="80"/>
      <c r="C166" s="81" t="s">
        <v>68</v>
      </c>
      <c r="D166" s="82"/>
      <c r="E166" s="82"/>
      <c r="F166" s="82"/>
      <c r="G166" s="82"/>
      <c r="H166" s="82"/>
      <c r="I166" s="82" t="s">
        <v>26</v>
      </c>
      <c r="J166" s="172">
        <v>10</v>
      </c>
      <c r="K166" s="83"/>
      <c r="L166" s="84">
        <f>+SUM(L164:L165)*J166%</f>
        <v>46.697692307692307</v>
      </c>
    </row>
    <row r="167" spans="2:12" x14ac:dyDescent="0.25">
      <c r="B167" s="80"/>
      <c r="C167" s="81" t="s">
        <v>69</v>
      </c>
      <c r="D167" s="82">
        <v>3</v>
      </c>
      <c r="E167" s="82">
        <f>+E159*D167</f>
        <v>156</v>
      </c>
      <c r="F167" s="82" t="s">
        <v>79</v>
      </c>
      <c r="G167" s="82" t="s">
        <v>14</v>
      </c>
      <c r="H167" s="82" t="s">
        <v>15</v>
      </c>
      <c r="I167" s="82" t="s">
        <v>15</v>
      </c>
      <c r="J167" s="91">
        <f>+D167/E167/D167</f>
        <v>6.4102564102564109E-3</v>
      </c>
      <c r="K167" s="83">
        <f>+'Mat y mano obra'!C4</f>
        <v>20142</v>
      </c>
      <c r="L167" s="84">
        <f t="shared" si="11"/>
        <v>129.11538461538464</v>
      </c>
    </row>
    <row r="168" spans="2:12" ht="15.75" thickBot="1" x14ac:dyDescent="0.3">
      <c r="B168" s="86"/>
      <c r="C168" s="87" t="s">
        <v>49</v>
      </c>
      <c r="D168" s="88"/>
      <c r="E168" s="88"/>
      <c r="F168" s="88"/>
      <c r="G168" s="88"/>
      <c r="H168" s="88"/>
      <c r="I168" s="88" t="s">
        <v>26</v>
      </c>
      <c r="J168" s="88">
        <v>57</v>
      </c>
      <c r="K168" s="89" t="s">
        <v>27</v>
      </c>
      <c r="L168" s="90">
        <f>+(L164+L165+L167)*J168%</f>
        <v>339.77261538461539</v>
      </c>
    </row>
    <row r="170" spans="2:12" ht="15.75" thickBot="1" x14ac:dyDescent="0.3"/>
    <row r="171" spans="2:12" x14ac:dyDescent="0.25">
      <c r="B171" s="66" t="s">
        <v>0</v>
      </c>
      <c r="C171" s="67" t="s">
        <v>1</v>
      </c>
      <c r="D171" s="68"/>
      <c r="E171" s="68"/>
      <c r="F171" s="68"/>
      <c r="G171" s="68"/>
      <c r="H171" s="68"/>
      <c r="I171" s="67" t="s">
        <v>5</v>
      </c>
      <c r="J171" s="67" t="s">
        <v>6</v>
      </c>
      <c r="K171" s="67" t="s">
        <v>7</v>
      </c>
      <c r="L171" s="69" t="s">
        <v>8</v>
      </c>
    </row>
    <row r="172" spans="2:12" ht="15.75" thickBot="1" x14ac:dyDescent="0.3">
      <c r="B172" s="70"/>
      <c r="C172" s="71" t="s">
        <v>83</v>
      </c>
      <c r="D172" s="64"/>
      <c r="E172" s="64"/>
      <c r="F172" s="64"/>
      <c r="G172" s="64"/>
      <c r="H172" s="64"/>
      <c r="I172" s="72" t="s">
        <v>79</v>
      </c>
      <c r="J172" s="72">
        <v>1</v>
      </c>
      <c r="K172" s="65"/>
      <c r="L172" s="73">
        <f>+SUM(L174:L182)</f>
        <v>5395.9749230769239</v>
      </c>
    </row>
    <row r="173" spans="2:12" x14ac:dyDescent="0.25">
      <c r="B173" s="74"/>
      <c r="C173" s="75" t="s">
        <v>62</v>
      </c>
      <c r="D173" s="76"/>
      <c r="E173" s="185">
        <f>+rendimiento!D21</f>
        <v>52</v>
      </c>
      <c r="F173" s="76"/>
      <c r="G173" s="76"/>
      <c r="H173" s="76"/>
      <c r="I173" s="77"/>
      <c r="J173" s="77"/>
      <c r="K173" s="78"/>
      <c r="L173" s="79"/>
    </row>
    <row r="174" spans="2:12" x14ac:dyDescent="0.25">
      <c r="B174" s="80"/>
      <c r="C174" s="81" t="s">
        <v>127</v>
      </c>
      <c r="D174" s="82">
        <v>1</v>
      </c>
      <c r="E174" s="82">
        <v>13</v>
      </c>
      <c r="F174" s="82"/>
      <c r="G174" s="82"/>
      <c r="H174" s="82"/>
      <c r="I174" s="82" t="s">
        <v>73</v>
      </c>
      <c r="J174" s="92">
        <f>+D174/E174/D174</f>
        <v>7.6923076923076927E-2</v>
      </c>
      <c r="K174" s="83">
        <f>+'Mat y mano obra'!C32+0.33*53.1*'APU DT-18'!C13</f>
        <v>57261</v>
      </c>
      <c r="L174" s="84">
        <f>+K174*J174</f>
        <v>4404.6923076923076</v>
      </c>
    </row>
    <row r="175" spans="2:12" x14ac:dyDescent="0.25">
      <c r="B175" s="80"/>
      <c r="C175" s="81" t="s">
        <v>64</v>
      </c>
      <c r="D175" s="82"/>
      <c r="E175" s="82"/>
      <c r="F175" s="82"/>
      <c r="G175" s="82"/>
      <c r="H175" s="82"/>
      <c r="I175" s="163" t="s">
        <v>44</v>
      </c>
      <c r="J175" s="163">
        <v>0.01</v>
      </c>
      <c r="K175" s="162">
        <f>+'Mat y mano obra'!C27</f>
        <v>872</v>
      </c>
      <c r="L175" s="84">
        <f t="shared" ref="L175:L181" si="12">+K175*J175</f>
        <v>8.7200000000000006</v>
      </c>
    </row>
    <row r="176" spans="2:12" x14ac:dyDescent="0.25">
      <c r="B176" s="80"/>
      <c r="C176" s="81" t="s">
        <v>28</v>
      </c>
      <c r="D176" s="82"/>
      <c r="E176" s="82"/>
      <c r="F176" s="82"/>
      <c r="G176" s="82"/>
      <c r="H176" s="82"/>
      <c r="I176" s="82"/>
      <c r="J176" s="82"/>
      <c r="K176" s="83"/>
      <c r="L176" s="84"/>
    </row>
    <row r="177" spans="2:12" x14ac:dyDescent="0.25">
      <c r="B177" s="80"/>
      <c r="C177" s="85" t="s">
        <v>65</v>
      </c>
      <c r="D177" s="82"/>
      <c r="E177" s="82"/>
      <c r="F177" s="82" t="s">
        <v>79</v>
      </c>
      <c r="G177" s="82" t="s">
        <v>14</v>
      </c>
      <c r="H177" s="82" t="s">
        <v>15</v>
      </c>
      <c r="I177" s="82" t="s">
        <v>15</v>
      </c>
      <c r="J177" s="91"/>
      <c r="K177" s="83"/>
      <c r="L177" s="84"/>
    </row>
    <row r="178" spans="2:12" x14ac:dyDescent="0.25">
      <c r="B178" s="80"/>
      <c r="C178" s="81" t="s">
        <v>66</v>
      </c>
      <c r="D178" s="82">
        <v>1</v>
      </c>
      <c r="E178" s="82">
        <f>+E173</f>
        <v>52</v>
      </c>
      <c r="F178" s="82" t="s">
        <v>79</v>
      </c>
      <c r="G178" s="82" t="s">
        <v>14</v>
      </c>
      <c r="H178" s="82" t="s">
        <v>35</v>
      </c>
      <c r="I178" s="82" t="s">
        <v>35</v>
      </c>
      <c r="J178" s="91">
        <f>+D178/E178/D178</f>
        <v>1.9230769230769232E-2</v>
      </c>
      <c r="K178" s="83">
        <f>+'Mat y mano obra'!C5</f>
        <v>14806</v>
      </c>
      <c r="L178" s="84">
        <f t="shared" si="12"/>
        <v>284.73076923076923</v>
      </c>
    </row>
    <row r="179" spans="2:12" x14ac:dyDescent="0.25">
      <c r="B179" s="80"/>
      <c r="C179" s="81" t="s">
        <v>67</v>
      </c>
      <c r="D179" s="82">
        <v>1</v>
      </c>
      <c r="E179" s="82">
        <v>65</v>
      </c>
      <c r="F179" s="82" t="s">
        <v>79</v>
      </c>
      <c r="G179" s="82" t="s">
        <v>14</v>
      </c>
      <c r="H179" s="82" t="s">
        <v>35</v>
      </c>
      <c r="I179" s="82" t="s">
        <v>35</v>
      </c>
      <c r="J179" s="91">
        <f>+D179/E179/D179</f>
        <v>1.5384615384615385E-2</v>
      </c>
      <c r="K179" s="83">
        <f>+'Mat y mano obra'!C7</f>
        <v>11846</v>
      </c>
      <c r="L179" s="84">
        <f t="shared" si="12"/>
        <v>182.24615384615385</v>
      </c>
    </row>
    <row r="180" spans="2:12" x14ac:dyDescent="0.25">
      <c r="B180" s="80"/>
      <c r="C180" s="81" t="s">
        <v>68</v>
      </c>
      <c r="D180" s="82"/>
      <c r="E180" s="82"/>
      <c r="F180" s="82"/>
      <c r="G180" s="82"/>
      <c r="H180" s="82"/>
      <c r="I180" s="82" t="s">
        <v>26</v>
      </c>
      <c r="J180" s="172">
        <v>10</v>
      </c>
      <c r="K180" s="83"/>
      <c r="L180" s="84">
        <f>+SUM(L178:L179)*J180%</f>
        <v>46.697692307692307</v>
      </c>
    </row>
    <row r="181" spans="2:12" x14ac:dyDescent="0.25">
      <c r="B181" s="80"/>
      <c r="C181" s="81" t="s">
        <v>69</v>
      </c>
      <c r="D181" s="82">
        <v>3</v>
      </c>
      <c r="E181" s="82">
        <f>+E173*D181</f>
        <v>156</v>
      </c>
      <c r="F181" s="82" t="s">
        <v>79</v>
      </c>
      <c r="G181" s="82" t="s">
        <v>14</v>
      </c>
      <c r="H181" s="82" t="s">
        <v>15</v>
      </c>
      <c r="I181" s="82" t="s">
        <v>15</v>
      </c>
      <c r="J181" s="91">
        <f>+D181/E181/D181</f>
        <v>6.4102564102564109E-3</v>
      </c>
      <c r="K181" s="83">
        <f>+'Mat y mano obra'!C4</f>
        <v>20142</v>
      </c>
      <c r="L181" s="84">
        <f t="shared" si="12"/>
        <v>129.11538461538464</v>
      </c>
    </row>
    <row r="182" spans="2:12" ht="15.75" thickBot="1" x14ac:dyDescent="0.3">
      <c r="B182" s="86"/>
      <c r="C182" s="87" t="s">
        <v>49</v>
      </c>
      <c r="D182" s="88"/>
      <c r="E182" s="88"/>
      <c r="F182" s="88"/>
      <c r="G182" s="88"/>
      <c r="H182" s="88"/>
      <c r="I182" s="88" t="s">
        <v>26</v>
      </c>
      <c r="J182" s="88">
        <v>57</v>
      </c>
      <c r="K182" s="89" t="s">
        <v>27</v>
      </c>
      <c r="L182" s="90">
        <f>+(L178+L179+L181)*J182%</f>
        <v>339.77261538461539</v>
      </c>
    </row>
  </sheetData>
  <mergeCells count="2">
    <mergeCell ref="F4:H4"/>
    <mergeCell ref="F60:H6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</vt:i4>
      </vt:variant>
    </vt:vector>
  </HeadingPairs>
  <TitlesOfParts>
    <vt:vector size="23" baseType="lpstr">
      <vt:lpstr>Modo de Uso</vt:lpstr>
      <vt:lpstr>Diseño</vt:lpstr>
      <vt:lpstr>Cubicación</vt:lpstr>
      <vt:lpstr>APU DT-18</vt:lpstr>
      <vt:lpstr>Hoja2</vt:lpstr>
      <vt:lpstr>Presupuesto</vt:lpstr>
      <vt:lpstr>Hormigón $ min</vt:lpstr>
      <vt:lpstr>Hormigón $max</vt:lpstr>
      <vt:lpstr>Acero $ min</vt:lpstr>
      <vt:lpstr>Acero $max</vt:lpstr>
      <vt:lpstr>Mov. Tierras $min</vt:lpstr>
      <vt:lpstr>Mov. Tierras $max</vt:lpstr>
      <vt:lpstr>Moldaje $min</vt:lpstr>
      <vt:lpstr>Moldaje $max</vt:lpstr>
      <vt:lpstr>Junta dilatación $min</vt:lpstr>
      <vt:lpstr>Junta dilatación $max</vt:lpstr>
      <vt:lpstr>Resumen</vt:lpstr>
      <vt:lpstr>NO BORRAR</vt:lpstr>
      <vt:lpstr>Hoja1</vt:lpstr>
      <vt:lpstr>Factor altura</vt:lpstr>
      <vt:lpstr>Mat y mano obra</vt:lpstr>
      <vt:lpstr>rendimiento</vt:lpstr>
      <vt:lpstr>'APU DT-18'!Área_de_impresión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JC. Cadenas</dc:creator>
  <cp:lastModifiedBy>Valentina VM. Mulchi</cp:lastModifiedBy>
  <cp:lastPrinted>2018-12-14T18:04:31Z</cp:lastPrinted>
  <dcterms:created xsi:type="dcterms:W3CDTF">2014-07-10T18:51:10Z</dcterms:created>
  <dcterms:modified xsi:type="dcterms:W3CDTF">2025-05-13T16:52:30Z</dcterms:modified>
</cp:coreProperties>
</file>