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jo\Catastro pivotes\"/>
    </mc:Choice>
  </mc:AlternateContent>
  <bookViews>
    <workbookView xWindow="-120" yWindow="-120" windowWidth="24240" windowHeight="13140"/>
  </bookViews>
  <sheets>
    <sheet name="ESTADÍSTICA" sheetId="1" r:id="rId1"/>
    <sheet name="GRÁFICO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" i="1" l="1"/>
  <c r="E151" i="1"/>
  <c r="C151" i="1"/>
  <c r="E72" i="1"/>
  <c r="C72" i="1"/>
  <c r="E32" i="1" l="1"/>
  <c r="E65" i="1"/>
  <c r="E31" i="1"/>
  <c r="O36" i="1"/>
  <c r="O132" i="1"/>
  <c r="O127" i="1"/>
  <c r="N127" i="1"/>
  <c r="O123" i="1"/>
  <c r="O109" i="1"/>
  <c r="E109" i="1"/>
  <c r="O96" i="1"/>
  <c r="O100" i="1"/>
  <c r="N100" i="1"/>
  <c r="E44" i="1" l="1"/>
  <c r="O45" i="1"/>
  <c r="E137" i="1" l="1"/>
  <c r="H104" i="1"/>
  <c r="H83" i="1"/>
  <c r="O153" i="1" l="1"/>
  <c r="N153" i="1"/>
  <c r="L153" i="1"/>
  <c r="E131" i="1"/>
  <c r="E147" i="1"/>
  <c r="E148" i="1"/>
  <c r="E127" i="1" l="1"/>
  <c r="E110" i="1"/>
  <c r="E123" i="1"/>
  <c r="E99" i="1"/>
  <c r="E102" i="1"/>
  <c r="E107" i="1" l="1"/>
  <c r="E97" i="1"/>
  <c r="E86" i="1"/>
  <c r="E95" i="1"/>
  <c r="E83" i="1"/>
  <c r="C83" i="1"/>
  <c r="E81" i="1"/>
  <c r="E89" i="1"/>
  <c r="E85" i="1"/>
  <c r="E68" i="1" l="1"/>
  <c r="G8" i="1"/>
  <c r="G141" i="1"/>
  <c r="G156" i="1"/>
  <c r="G155" i="1"/>
  <c r="E62" i="1"/>
  <c r="E56" i="1" l="1"/>
  <c r="E77" i="1"/>
  <c r="C77" i="1"/>
  <c r="E78" i="1"/>
  <c r="E73" i="1"/>
  <c r="E63" i="1"/>
  <c r="O67" i="1" l="1"/>
  <c r="E67" i="1"/>
  <c r="E84" i="1" l="1"/>
  <c r="C84" i="1"/>
  <c r="H153" i="1" l="1"/>
  <c r="J151" i="1"/>
  <c r="J153" i="1" s="1"/>
  <c r="E153" i="1"/>
  <c r="C153" i="1"/>
  <c r="M153" i="1" s="1"/>
  <c r="Q33" i="1"/>
  <c r="S33" i="1" s="1"/>
  <c r="U33" i="1" s="1"/>
  <c r="W33" i="1" s="1"/>
  <c r="Y33" i="1" s="1"/>
  <c r="AA33" i="1" s="1"/>
  <c r="AC33" i="1" s="1"/>
  <c r="AE33" i="1" s="1"/>
  <c r="AG33" i="1" s="1"/>
  <c r="AI33" i="1" s="1"/>
  <c r="AK33" i="1" s="1"/>
  <c r="AM33" i="1" s="1"/>
  <c r="AO33" i="1" s="1"/>
  <c r="P33" i="1"/>
  <c r="R33" i="1" s="1"/>
  <c r="T33" i="1" s="1"/>
  <c r="V33" i="1" s="1"/>
  <c r="X33" i="1" s="1"/>
  <c r="Z33" i="1" s="1"/>
  <c r="AB33" i="1" s="1"/>
  <c r="AD33" i="1" s="1"/>
  <c r="AF33" i="1" s="1"/>
  <c r="AH33" i="1" s="1"/>
  <c r="AJ33" i="1" s="1"/>
  <c r="AL33" i="1" s="1"/>
  <c r="AN33" i="1" s="1"/>
  <c r="G33" i="1"/>
  <c r="Q21" i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AM21" i="1" s="1"/>
  <c r="AO21" i="1" s="1"/>
  <c r="P21" i="1"/>
  <c r="R21" i="1" s="1"/>
  <c r="T21" i="1" s="1"/>
  <c r="V21" i="1" s="1"/>
  <c r="X21" i="1" s="1"/>
  <c r="Z21" i="1" s="1"/>
  <c r="AB21" i="1" s="1"/>
  <c r="AD21" i="1" s="1"/>
  <c r="AF21" i="1" s="1"/>
  <c r="AH21" i="1" s="1"/>
  <c r="AJ21" i="1" s="1"/>
  <c r="AL21" i="1" s="1"/>
  <c r="AN21" i="1" s="1"/>
  <c r="G21" i="1"/>
  <c r="E128" i="1"/>
  <c r="H135" i="1"/>
  <c r="E135" i="1"/>
  <c r="C135" i="1"/>
  <c r="E29" i="1"/>
  <c r="E28" i="1"/>
  <c r="I153" i="1" l="1"/>
  <c r="K153" i="1"/>
  <c r="E100" i="1" l="1"/>
  <c r="Q155" i="1" l="1"/>
  <c r="S155" i="1" s="1"/>
  <c r="U155" i="1" s="1"/>
  <c r="W155" i="1" s="1"/>
  <c r="Y155" i="1" s="1"/>
  <c r="AA155" i="1" s="1"/>
  <c r="AC155" i="1" s="1"/>
  <c r="AE155" i="1" s="1"/>
  <c r="AG155" i="1" s="1"/>
  <c r="AI155" i="1" s="1"/>
  <c r="AK155" i="1" s="1"/>
  <c r="AM155" i="1" s="1"/>
  <c r="AO155" i="1" s="1"/>
  <c r="P155" i="1"/>
  <c r="R155" i="1" s="1"/>
  <c r="T155" i="1" s="1"/>
  <c r="V155" i="1" s="1"/>
  <c r="X155" i="1" s="1"/>
  <c r="Z155" i="1" s="1"/>
  <c r="AB155" i="1" s="1"/>
  <c r="AD155" i="1" s="1"/>
  <c r="AF155" i="1" s="1"/>
  <c r="AH155" i="1" s="1"/>
  <c r="AJ155" i="1" s="1"/>
  <c r="AL155" i="1" s="1"/>
  <c r="AN155" i="1" s="1"/>
  <c r="O30" i="1" l="1"/>
  <c r="L10" i="1"/>
  <c r="J10" i="1"/>
  <c r="H10" i="1"/>
  <c r="E10" i="1"/>
  <c r="C10" i="1"/>
  <c r="Q8" i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P8" i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M10" i="1" l="1"/>
  <c r="I10" i="1"/>
  <c r="K10" i="1"/>
  <c r="E90" i="1"/>
  <c r="E30" i="1" l="1"/>
  <c r="N92" i="1" l="1"/>
  <c r="E91" i="1" l="1"/>
  <c r="H94" i="1" l="1"/>
  <c r="E94" i="1"/>
  <c r="C94" i="1"/>
  <c r="E121" i="1" l="1"/>
  <c r="H122" i="1" l="1"/>
  <c r="E122" i="1"/>
  <c r="C122" i="1"/>
  <c r="H47" i="1"/>
  <c r="E47" i="1"/>
  <c r="C47" i="1"/>
  <c r="O99" i="1" l="1"/>
  <c r="O92" i="1" l="1"/>
  <c r="O90" i="1"/>
  <c r="O86" i="1"/>
  <c r="N86" i="1"/>
  <c r="O84" i="1"/>
  <c r="E92" i="1" l="1"/>
  <c r="O83" i="1" l="1"/>
  <c r="Q83" i="1" l="1"/>
  <c r="P83" i="1"/>
  <c r="E26" i="1" l="1"/>
  <c r="E134" i="1" l="1"/>
  <c r="E132" i="1"/>
  <c r="E126" i="1"/>
  <c r="E125" i="1"/>
  <c r="E113" i="1" l="1"/>
  <c r="P104" i="1" l="1"/>
  <c r="R104" i="1" s="1"/>
  <c r="E104" i="1"/>
  <c r="C104" i="1"/>
  <c r="T104" i="1" l="1"/>
  <c r="V104" i="1" s="1"/>
  <c r="X104" i="1" s="1"/>
  <c r="Z104" i="1" s="1"/>
  <c r="AB104" i="1" s="1"/>
  <c r="AD104" i="1" s="1"/>
  <c r="AF104" i="1" l="1"/>
  <c r="AH104" i="1" s="1"/>
  <c r="AJ104" i="1" s="1"/>
  <c r="O87" i="1"/>
  <c r="E87" i="1"/>
  <c r="E74" i="1" l="1"/>
  <c r="E69" i="1" l="1"/>
  <c r="E66" i="1" l="1"/>
  <c r="E59" i="1" l="1"/>
  <c r="E45" i="1"/>
  <c r="O32" i="1"/>
  <c r="E55" i="1" l="1"/>
  <c r="E58" i="1" l="1"/>
  <c r="E140" i="1" l="1"/>
  <c r="O10" i="1" l="1"/>
  <c r="L93" i="1"/>
  <c r="J93" i="1"/>
  <c r="E149" i="1" l="1"/>
  <c r="Q156" i="1" l="1"/>
  <c r="S156" i="1" s="1"/>
  <c r="U156" i="1" s="1"/>
  <c r="P156" i="1"/>
  <c r="R156" i="1" s="1"/>
  <c r="T156" i="1" s="1"/>
  <c r="O157" i="1"/>
  <c r="N157" i="1"/>
  <c r="L157" i="1"/>
  <c r="J157" i="1"/>
  <c r="H157" i="1"/>
  <c r="C157" i="1"/>
  <c r="Q141" i="1"/>
  <c r="S141" i="1" s="1"/>
  <c r="U141" i="1" s="1"/>
  <c r="W141" i="1" s="1"/>
  <c r="Y141" i="1" s="1"/>
  <c r="AA141" i="1" s="1"/>
  <c r="AC141" i="1" s="1"/>
  <c r="AE141" i="1" s="1"/>
  <c r="AG141" i="1" s="1"/>
  <c r="AI141" i="1" s="1"/>
  <c r="AK141" i="1" s="1"/>
  <c r="AM141" i="1" s="1"/>
  <c r="AO141" i="1" s="1"/>
  <c r="P141" i="1"/>
  <c r="R141" i="1" s="1"/>
  <c r="T141" i="1" s="1"/>
  <c r="V141" i="1" s="1"/>
  <c r="X141" i="1" s="1"/>
  <c r="Z141" i="1" s="1"/>
  <c r="AB141" i="1" s="1"/>
  <c r="AD141" i="1" s="1"/>
  <c r="AF141" i="1" s="1"/>
  <c r="AH141" i="1" s="1"/>
  <c r="AJ141" i="1" s="1"/>
  <c r="AL141" i="1" s="1"/>
  <c r="AN141" i="1" s="1"/>
  <c r="G94" i="1"/>
  <c r="I157" i="1" l="1"/>
  <c r="K157" i="1"/>
  <c r="M157" i="1"/>
  <c r="V156" i="1"/>
  <c r="W156" i="1"/>
  <c r="Q43" i="1"/>
  <c r="S43" i="1" s="1"/>
  <c r="U43" i="1" s="1"/>
  <c r="W43" i="1" s="1"/>
  <c r="Y43" i="1" s="1"/>
  <c r="AA43" i="1" s="1"/>
  <c r="AC43" i="1" s="1"/>
  <c r="AE43" i="1" s="1"/>
  <c r="AG43" i="1" s="1"/>
  <c r="AI43" i="1" s="1"/>
  <c r="AK43" i="1" s="1"/>
  <c r="AM43" i="1" s="1"/>
  <c r="AO43" i="1" s="1"/>
  <c r="P43" i="1"/>
  <c r="R43" i="1" s="1"/>
  <c r="T43" i="1" s="1"/>
  <c r="V43" i="1" s="1"/>
  <c r="X43" i="1" s="1"/>
  <c r="Z43" i="1" s="1"/>
  <c r="AB43" i="1" s="1"/>
  <c r="AD43" i="1" s="1"/>
  <c r="AF43" i="1" s="1"/>
  <c r="AH43" i="1" s="1"/>
  <c r="AJ43" i="1" s="1"/>
  <c r="AL43" i="1" s="1"/>
  <c r="AN43" i="1" s="1"/>
  <c r="G43" i="1"/>
  <c r="Q27" i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AM27" i="1" s="1"/>
  <c r="AO27" i="1" s="1"/>
  <c r="P27" i="1"/>
  <c r="R27" i="1" s="1"/>
  <c r="T27" i="1" s="1"/>
  <c r="V27" i="1" s="1"/>
  <c r="X27" i="1" s="1"/>
  <c r="Z27" i="1" s="1"/>
  <c r="AB27" i="1" s="1"/>
  <c r="AD27" i="1" s="1"/>
  <c r="AF27" i="1" s="1"/>
  <c r="AH27" i="1" s="1"/>
  <c r="AJ27" i="1" s="1"/>
  <c r="AL27" i="1" s="1"/>
  <c r="AN27" i="1" s="1"/>
  <c r="G27" i="1"/>
  <c r="G20" i="1"/>
  <c r="Q5" i="1"/>
  <c r="S5" i="1" s="1"/>
  <c r="P5" i="1"/>
  <c r="R5" i="1" s="1"/>
  <c r="T5" i="1" s="1"/>
  <c r="Q20" i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AM20" i="1" s="1"/>
  <c r="AO20" i="1" s="1"/>
  <c r="P20" i="1"/>
  <c r="R20" i="1" s="1"/>
  <c r="T20" i="1" s="1"/>
  <c r="V20" i="1" s="1"/>
  <c r="X20" i="1" s="1"/>
  <c r="Z20" i="1" s="1"/>
  <c r="AB20" i="1" s="1"/>
  <c r="AD20" i="1" s="1"/>
  <c r="AF20" i="1" s="1"/>
  <c r="AH20" i="1" s="1"/>
  <c r="AJ20" i="1" s="1"/>
  <c r="AL20" i="1" s="1"/>
  <c r="AN20" i="1" s="1"/>
  <c r="O7" i="1"/>
  <c r="N7" i="1"/>
  <c r="L7" i="1"/>
  <c r="J7" i="1"/>
  <c r="H7" i="1"/>
  <c r="E7" i="1"/>
  <c r="C7" i="1"/>
  <c r="G5" i="1"/>
  <c r="Q136" i="1"/>
  <c r="S136" i="1" s="1"/>
  <c r="U136" i="1" s="1"/>
  <c r="W136" i="1" s="1"/>
  <c r="Y136" i="1" s="1"/>
  <c r="AA136" i="1" s="1"/>
  <c r="AC136" i="1" s="1"/>
  <c r="AE136" i="1" s="1"/>
  <c r="AG136" i="1" s="1"/>
  <c r="AI136" i="1" s="1"/>
  <c r="AK136" i="1" s="1"/>
  <c r="AM136" i="1" s="1"/>
  <c r="AO136" i="1" s="1"/>
  <c r="P136" i="1"/>
  <c r="R136" i="1" s="1"/>
  <c r="T136" i="1" s="1"/>
  <c r="V136" i="1" s="1"/>
  <c r="X136" i="1" s="1"/>
  <c r="Z136" i="1" s="1"/>
  <c r="AB136" i="1" s="1"/>
  <c r="AD136" i="1" s="1"/>
  <c r="AF136" i="1" s="1"/>
  <c r="AH136" i="1" s="1"/>
  <c r="AJ136" i="1" s="1"/>
  <c r="AL136" i="1" s="1"/>
  <c r="AN136" i="1" s="1"/>
  <c r="G136" i="1"/>
  <c r="M7" i="1" l="1"/>
  <c r="I7" i="1"/>
  <c r="K7" i="1"/>
  <c r="Y156" i="1"/>
  <c r="X156" i="1"/>
  <c r="V5" i="1"/>
  <c r="U5" i="1"/>
  <c r="L130" i="1"/>
  <c r="J130" i="1"/>
  <c r="H130" i="1"/>
  <c r="C130" i="1"/>
  <c r="O55" i="1"/>
  <c r="K130" i="1" l="1"/>
  <c r="M130" i="1"/>
  <c r="I130" i="1"/>
  <c r="Z156" i="1"/>
  <c r="AA156" i="1"/>
  <c r="W5" i="1"/>
  <c r="X5" i="1"/>
  <c r="Q129" i="1"/>
  <c r="S129" i="1" s="1"/>
  <c r="U129" i="1" s="1"/>
  <c r="W129" i="1" s="1"/>
  <c r="Y129" i="1" s="1"/>
  <c r="AA129" i="1" s="1"/>
  <c r="AC129" i="1" s="1"/>
  <c r="AE129" i="1" s="1"/>
  <c r="AG129" i="1" s="1"/>
  <c r="AI129" i="1" s="1"/>
  <c r="AK129" i="1" s="1"/>
  <c r="AM129" i="1" s="1"/>
  <c r="AO129" i="1" s="1"/>
  <c r="P129" i="1"/>
  <c r="R129" i="1" s="1"/>
  <c r="T129" i="1" s="1"/>
  <c r="V129" i="1" s="1"/>
  <c r="X129" i="1" s="1"/>
  <c r="Z129" i="1" s="1"/>
  <c r="AB129" i="1" s="1"/>
  <c r="AD129" i="1" s="1"/>
  <c r="AF129" i="1" s="1"/>
  <c r="AH129" i="1" s="1"/>
  <c r="AJ129" i="1" s="1"/>
  <c r="AL129" i="1" s="1"/>
  <c r="AN129" i="1" s="1"/>
  <c r="G129" i="1"/>
  <c r="AC156" i="1" l="1"/>
  <c r="AB156" i="1"/>
  <c r="Y5" i="1"/>
  <c r="Z5" i="1"/>
  <c r="Q52" i="1"/>
  <c r="S52" i="1" s="1"/>
  <c r="U52" i="1" s="1"/>
  <c r="W52" i="1" s="1"/>
  <c r="Y52" i="1" s="1"/>
  <c r="AA52" i="1" s="1"/>
  <c r="AC52" i="1" s="1"/>
  <c r="AE52" i="1" s="1"/>
  <c r="AG52" i="1" s="1"/>
  <c r="AI52" i="1" s="1"/>
  <c r="AK52" i="1" s="1"/>
  <c r="AM52" i="1" s="1"/>
  <c r="AO52" i="1" s="1"/>
  <c r="P52" i="1"/>
  <c r="R52" i="1" s="1"/>
  <c r="T52" i="1" s="1"/>
  <c r="V52" i="1" s="1"/>
  <c r="X52" i="1" s="1"/>
  <c r="Z52" i="1" s="1"/>
  <c r="AB52" i="1" s="1"/>
  <c r="AD52" i="1" s="1"/>
  <c r="AF52" i="1" s="1"/>
  <c r="AH52" i="1" s="1"/>
  <c r="AJ52" i="1" s="1"/>
  <c r="AL52" i="1" s="1"/>
  <c r="AN52" i="1" s="1"/>
  <c r="Q48" i="1"/>
  <c r="S48" i="1" s="1"/>
  <c r="U48" i="1" s="1"/>
  <c r="W48" i="1" s="1"/>
  <c r="Y48" i="1" s="1"/>
  <c r="AA48" i="1" s="1"/>
  <c r="AC48" i="1" s="1"/>
  <c r="AE48" i="1" s="1"/>
  <c r="AG48" i="1" s="1"/>
  <c r="AI48" i="1" s="1"/>
  <c r="AK48" i="1" s="1"/>
  <c r="AM48" i="1" s="1"/>
  <c r="AO48" i="1" s="1"/>
  <c r="P48" i="1"/>
  <c r="R48" i="1" s="1"/>
  <c r="T48" i="1" s="1"/>
  <c r="V48" i="1" s="1"/>
  <c r="X48" i="1" s="1"/>
  <c r="Z48" i="1" s="1"/>
  <c r="AB48" i="1" s="1"/>
  <c r="AD48" i="1" s="1"/>
  <c r="AF48" i="1" s="1"/>
  <c r="AH48" i="1" s="1"/>
  <c r="AJ48" i="1" s="1"/>
  <c r="AL48" i="1" s="1"/>
  <c r="AN48" i="1" s="1"/>
  <c r="G52" i="1"/>
  <c r="G48" i="1"/>
  <c r="AD156" i="1" l="1"/>
  <c r="AE156" i="1"/>
  <c r="AB5" i="1"/>
  <c r="AA5" i="1"/>
  <c r="AG156" i="1" l="1"/>
  <c r="AF156" i="1"/>
  <c r="AD5" i="1"/>
  <c r="AC5" i="1"/>
  <c r="O42" i="1"/>
  <c r="E42" i="1"/>
  <c r="AH156" i="1" l="1"/>
  <c r="AI156" i="1"/>
  <c r="AE5" i="1"/>
  <c r="AF5" i="1"/>
  <c r="AK156" i="1" l="1"/>
  <c r="AJ156" i="1"/>
  <c r="AG5" i="1"/>
  <c r="AH5" i="1"/>
  <c r="AM156" i="1" l="1"/>
  <c r="AL156" i="1"/>
  <c r="AJ5" i="1"/>
  <c r="AI5" i="1"/>
  <c r="AN156" i="1" l="1"/>
  <c r="AO156" i="1"/>
  <c r="AL5" i="1"/>
  <c r="AK5" i="1"/>
  <c r="E36" i="1"/>
  <c r="Q94" i="1"/>
  <c r="S94" i="1" s="1"/>
  <c r="U94" i="1" s="1"/>
  <c r="P94" i="1"/>
  <c r="R94" i="1" s="1"/>
  <c r="L108" i="1"/>
  <c r="J108" i="1"/>
  <c r="AM5" i="1" l="1"/>
  <c r="AN5" i="1"/>
  <c r="T94" i="1"/>
  <c r="W94" i="1"/>
  <c r="AO5" i="1" l="1"/>
  <c r="V94" i="1"/>
  <c r="Y94" i="1"/>
  <c r="AA94" i="1" l="1"/>
  <c r="X94" i="1"/>
  <c r="Z94" i="1" l="1"/>
  <c r="AC94" i="1"/>
  <c r="E142" i="1"/>
  <c r="AB94" i="1" l="1"/>
  <c r="AE94" i="1"/>
  <c r="E82" i="1"/>
  <c r="E80" i="1"/>
  <c r="AG94" i="1" l="1"/>
  <c r="AD94" i="1"/>
  <c r="AF94" i="1" l="1"/>
  <c r="AI94" i="1"/>
  <c r="AK94" i="1" l="1"/>
  <c r="AM94" i="1" s="1"/>
  <c r="AH94" i="1"/>
  <c r="AJ94" i="1" l="1"/>
  <c r="AL94" i="1" s="1"/>
  <c r="AO94" i="1" l="1"/>
  <c r="AN94" i="1" l="1"/>
  <c r="H143" i="1" l="1"/>
  <c r="E105" i="1"/>
  <c r="C93" i="1" l="1"/>
  <c r="L68" i="1"/>
  <c r="M93" i="1" l="1"/>
  <c r="K93" i="1"/>
  <c r="AR14" i="1"/>
  <c r="E139" i="1" l="1"/>
  <c r="C139" i="1"/>
  <c r="C108" i="1"/>
  <c r="K108" i="1" l="1"/>
  <c r="M108" i="1"/>
  <c r="O81" i="1"/>
  <c r="N96" i="1"/>
  <c r="O80" i="1"/>
  <c r="Q147" i="1" l="1"/>
  <c r="S147" i="1" s="1"/>
  <c r="U147" i="1" s="1"/>
  <c r="W147" i="1" s="1"/>
  <c r="Y147" i="1" s="1"/>
  <c r="AA147" i="1" s="1"/>
  <c r="AC147" i="1" s="1"/>
  <c r="AE147" i="1" s="1"/>
  <c r="AG147" i="1" s="1"/>
  <c r="AI147" i="1" s="1"/>
  <c r="AK147" i="1" s="1"/>
  <c r="P147" i="1"/>
  <c r="R147" i="1" s="1"/>
  <c r="T147" i="1" s="1"/>
  <c r="V147" i="1" s="1"/>
  <c r="X147" i="1" s="1"/>
  <c r="Z147" i="1" s="1"/>
  <c r="AB147" i="1" s="1"/>
  <c r="AD147" i="1" s="1"/>
  <c r="AF147" i="1" s="1"/>
  <c r="AH147" i="1" s="1"/>
  <c r="AJ147" i="1" s="1"/>
  <c r="G147" i="1"/>
  <c r="AL147" i="1" l="1"/>
  <c r="AN147" i="1" s="1"/>
  <c r="AM147" i="1"/>
  <c r="AO147" i="1" s="1"/>
  <c r="E37" i="1" l="1"/>
  <c r="O72" i="1" l="1"/>
  <c r="E53" i="1" l="1"/>
  <c r="O68" i="1"/>
  <c r="P67" i="1"/>
  <c r="R67" i="1" s="1"/>
  <c r="T67" i="1" s="1"/>
  <c r="O66" i="1"/>
  <c r="P65" i="1"/>
  <c r="V67" i="1" l="1"/>
  <c r="X67" i="1" s="1"/>
  <c r="O65" i="1"/>
  <c r="Q61" i="1"/>
  <c r="S61" i="1" s="1"/>
  <c r="P61" i="1"/>
  <c r="R61" i="1" s="1"/>
  <c r="P60" i="1"/>
  <c r="R60" i="1" s="1"/>
  <c r="T60" i="1" s="1"/>
  <c r="V60" i="1" s="1"/>
  <c r="X60" i="1" s="1"/>
  <c r="Z60" i="1" s="1"/>
  <c r="AB60" i="1" s="1"/>
  <c r="AD60" i="1" s="1"/>
  <c r="AF60" i="1" s="1"/>
  <c r="AH60" i="1" s="1"/>
  <c r="AJ60" i="1" s="1"/>
  <c r="AL60" i="1" s="1"/>
  <c r="AN60" i="1" s="1"/>
  <c r="P59" i="1"/>
  <c r="R59" i="1" s="1"/>
  <c r="T59" i="1" s="1"/>
  <c r="V59" i="1" s="1"/>
  <c r="X59" i="1" s="1"/>
  <c r="Z59" i="1" s="1"/>
  <c r="AB59" i="1" s="1"/>
  <c r="AD59" i="1" s="1"/>
  <c r="AF59" i="1" s="1"/>
  <c r="AH59" i="1" s="1"/>
  <c r="AJ59" i="1" s="1"/>
  <c r="AL59" i="1" s="1"/>
  <c r="AN59" i="1" s="1"/>
  <c r="T61" i="1" l="1"/>
  <c r="V61" i="1" s="1"/>
  <c r="X61" i="1" s="1"/>
  <c r="Z61" i="1" s="1"/>
  <c r="AB61" i="1" s="1"/>
  <c r="AD61" i="1" s="1"/>
  <c r="AF61" i="1" s="1"/>
  <c r="AH61" i="1" s="1"/>
  <c r="AJ61" i="1" s="1"/>
  <c r="AL61" i="1" s="1"/>
  <c r="AN61" i="1" s="1"/>
  <c r="U61" i="1"/>
  <c r="W61" i="1" s="1"/>
  <c r="Y61" i="1" s="1"/>
  <c r="AA61" i="1" s="1"/>
  <c r="AC61" i="1" s="1"/>
  <c r="AE61" i="1" s="1"/>
  <c r="AG61" i="1" s="1"/>
  <c r="AI61" i="1" s="1"/>
  <c r="AK61" i="1" s="1"/>
  <c r="AM61" i="1" s="1"/>
  <c r="AO61" i="1" s="1"/>
  <c r="Z67" i="1"/>
  <c r="O44" i="1"/>
  <c r="Q42" i="1"/>
  <c r="P42" i="1"/>
  <c r="AB67" i="1" l="1"/>
  <c r="AD67" i="1" s="1"/>
  <c r="AF67" i="1" l="1"/>
  <c r="AH67" i="1" s="1"/>
  <c r="AJ67" i="1" s="1"/>
  <c r="AL67" i="1" s="1"/>
  <c r="AN67" i="1" s="1"/>
  <c r="O39" i="1"/>
  <c r="P36" i="1"/>
  <c r="Q36" i="1"/>
  <c r="P32" i="1" l="1"/>
  <c r="R32" i="1" s="1"/>
  <c r="T32" i="1" s="1"/>
  <c r="O31" i="1"/>
  <c r="N31" i="1"/>
  <c r="P31" i="1" s="1"/>
  <c r="P30" i="1"/>
  <c r="P29" i="1"/>
  <c r="R29" i="1" s="1"/>
  <c r="T29" i="1" s="1"/>
  <c r="O29" i="1"/>
  <c r="P28" i="1" l="1"/>
  <c r="O28" i="1"/>
  <c r="E22" i="1" l="1"/>
  <c r="P17" i="1"/>
  <c r="O17" i="1"/>
  <c r="O14" i="1" l="1"/>
  <c r="Q14" i="1" s="1"/>
  <c r="N14" i="1"/>
  <c r="P14" i="1" s="1"/>
  <c r="Q6" i="1"/>
  <c r="Q7" i="1" s="1"/>
  <c r="P6" i="1"/>
  <c r="P7" i="1" s="1"/>
  <c r="O12" i="1"/>
  <c r="E12" i="1"/>
  <c r="P12" i="1"/>
  <c r="Q154" i="1"/>
  <c r="P154" i="1"/>
  <c r="H108" i="1" l="1"/>
  <c r="I108" i="1" s="1"/>
  <c r="H93" i="1"/>
  <c r="I93" i="1" s="1"/>
  <c r="R154" i="1"/>
  <c r="P157" i="1"/>
  <c r="S154" i="1"/>
  <c r="Q157" i="1"/>
  <c r="Q152" i="1"/>
  <c r="S152" i="1" s="1"/>
  <c r="U152" i="1" s="1"/>
  <c r="W152" i="1" s="1"/>
  <c r="Y152" i="1" s="1"/>
  <c r="AA152" i="1" s="1"/>
  <c r="AC152" i="1" s="1"/>
  <c r="AE152" i="1" s="1"/>
  <c r="AG152" i="1" s="1"/>
  <c r="AI152" i="1" s="1"/>
  <c r="AK152" i="1" s="1"/>
  <c r="AM152" i="1" s="1"/>
  <c r="AO152" i="1" s="1"/>
  <c r="P152" i="1"/>
  <c r="R152" i="1" s="1"/>
  <c r="T152" i="1" s="1"/>
  <c r="V152" i="1" s="1"/>
  <c r="X152" i="1" s="1"/>
  <c r="Z152" i="1" s="1"/>
  <c r="AB152" i="1" s="1"/>
  <c r="AD152" i="1" s="1"/>
  <c r="AF152" i="1" s="1"/>
  <c r="AH152" i="1" s="1"/>
  <c r="AJ152" i="1" s="1"/>
  <c r="AL152" i="1" s="1"/>
  <c r="AN152" i="1" s="1"/>
  <c r="Q151" i="1"/>
  <c r="P151" i="1"/>
  <c r="Q149" i="1"/>
  <c r="P144" i="1"/>
  <c r="R144" i="1" s="1"/>
  <c r="T144" i="1" s="1"/>
  <c r="V144" i="1" s="1"/>
  <c r="X144" i="1" s="1"/>
  <c r="Z144" i="1" s="1"/>
  <c r="AB144" i="1" s="1"/>
  <c r="AD144" i="1" s="1"/>
  <c r="AF144" i="1" s="1"/>
  <c r="AH144" i="1" s="1"/>
  <c r="AJ144" i="1" s="1"/>
  <c r="AL144" i="1" s="1"/>
  <c r="AN144" i="1" s="1"/>
  <c r="Q142" i="1"/>
  <c r="S142" i="1" s="1"/>
  <c r="R151" i="1" l="1"/>
  <c r="P153" i="1"/>
  <c r="S151" i="1"/>
  <c r="Q153" i="1"/>
  <c r="U154" i="1"/>
  <c r="S157" i="1"/>
  <c r="T154" i="1"/>
  <c r="R157" i="1"/>
  <c r="Q145" i="1"/>
  <c r="S145" i="1" s="1"/>
  <c r="U145" i="1" s="1"/>
  <c r="W145" i="1" s="1"/>
  <c r="Y145" i="1" s="1"/>
  <c r="AA145" i="1" s="1"/>
  <c r="AC145" i="1" s="1"/>
  <c r="AE145" i="1" s="1"/>
  <c r="AG145" i="1" s="1"/>
  <c r="AI145" i="1" s="1"/>
  <c r="P145" i="1"/>
  <c r="R145" i="1" s="1"/>
  <c r="T145" i="1" s="1"/>
  <c r="V145" i="1" s="1"/>
  <c r="X145" i="1" s="1"/>
  <c r="Z145" i="1" s="1"/>
  <c r="AB145" i="1" s="1"/>
  <c r="AD145" i="1" s="1"/>
  <c r="AF145" i="1" s="1"/>
  <c r="Q143" i="1"/>
  <c r="S143" i="1" s="1"/>
  <c r="U143" i="1" s="1"/>
  <c r="W143" i="1" s="1"/>
  <c r="Y143" i="1" s="1"/>
  <c r="AA143" i="1" s="1"/>
  <c r="AC143" i="1" s="1"/>
  <c r="AE143" i="1" s="1"/>
  <c r="AG143" i="1" s="1"/>
  <c r="AI143" i="1" s="1"/>
  <c r="P143" i="1"/>
  <c r="R143" i="1" s="1"/>
  <c r="T143" i="1" s="1"/>
  <c r="V143" i="1" s="1"/>
  <c r="X143" i="1" s="1"/>
  <c r="Z143" i="1" s="1"/>
  <c r="AB143" i="1" s="1"/>
  <c r="AD143" i="1" s="1"/>
  <c r="AF143" i="1" s="1"/>
  <c r="AH143" i="1" s="1"/>
  <c r="Q139" i="1"/>
  <c r="S139" i="1" s="1"/>
  <c r="U139" i="1" s="1"/>
  <c r="W139" i="1" s="1"/>
  <c r="Y139" i="1" s="1"/>
  <c r="P139" i="1"/>
  <c r="R139" i="1" s="1"/>
  <c r="T139" i="1" s="1"/>
  <c r="V139" i="1" s="1"/>
  <c r="X139" i="1" s="1"/>
  <c r="Z139" i="1" s="1"/>
  <c r="AB139" i="1" s="1"/>
  <c r="AD139" i="1" s="1"/>
  <c r="AF139" i="1" s="1"/>
  <c r="AH139" i="1" s="1"/>
  <c r="AJ139" i="1" s="1"/>
  <c r="O137" i="1"/>
  <c r="Q137" i="1" s="1"/>
  <c r="S137" i="1" s="1"/>
  <c r="O135" i="1"/>
  <c r="Q135" i="1" s="1"/>
  <c r="Q134" i="1"/>
  <c r="Q133" i="1"/>
  <c r="U151" i="1" l="1"/>
  <c r="S153" i="1"/>
  <c r="T151" i="1"/>
  <c r="R153" i="1"/>
  <c r="AJ143" i="1"/>
  <c r="AL143" i="1" s="1"/>
  <c r="AN143" i="1" s="1"/>
  <c r="AK143" i="1"/>
  <c r="AM143" i="1" s="1"/>
  <c r="AO143" i="1" s="1"/>
  <c r="AL139" i="1"/>
  <c r="AN139" i="1" s="1"/>
  <c r="V154" i="1"/>
  <c r="T157" i="1"/>
  <c r="W154" i="1"/>
  <c r="U157" i="1"/>
  <c r="Q131" i="1"/>
  <c r="S131" i="1" s="1"/>
  <c r="U131" i="1" s="1"/>
  <c r="W131" i="1" s="1"/>
  <c r="Y131" i="1" s="1"/>
  <c r="AA131" i="1" s="1"/>
  <c r="P137" i="1"/>
  <c r="R137" i="1" s="1"/>
  <c r="T137" i="1" s="1"/>
  <c r="V137" i="1" s="1"/>
  <c r="X137" i="1" s="1"/>
  <c r="Z137" i="1" s="1"/>
  <c r="AB137" i="1" s="1"/>
  <c r="AD137" i="1" s="1"/>
  <c r="AF137" i="1" s="1"/>
  <c r="AH137" i="1" s="1"/>
  <c r="P135" i="1"/>
  <c r="R135" i="1" s="1"/>
  <c r="T135" i="1" s="1"/>
  <c r="P134" i="1"/>
  <c r="R134" i="1" s="1"/>
  <c r="T134" i="1" s="1"/>
  <c r="V134" i="1" s="1"/>
  <c r="X134" i="1" s="1"/>
  <c r="P132" i="1"/>
  <c r="R132" i="1" s="1"/>
  <c r="T132" i="1" s="1"/>
  <c r="V132" i="1" s="1"/>
  <c r="X132" i="1" s="1"/>
  <c r="Z132" i="1" s="1"/>
  <c r="AB132" i="1" s="1"/>
  <c r="Q128" i="1"/>
  <c r="O126" i="1"/>
  <c r="P126" i="1"/>
  <c r="R126" i="1" s="1"/>
  <c r="T126" i="1" s="1"/>
  <c r="V126" i="1" s="1"/>
  <c r="X126" i="1" s="1"/>
  <c r="Z126" i="1" s="1"/>
  <c r="AB126" i="1" s="1"/>
  <c r="Q125" i="1"/>
  <c r="S125" i="1" s="1"/>
  <c r="U125" i="1" s="1"/>
  <c r="W125" i="1" s="1"/>
  <c r="P125" i="1"/>
  <c r="R125" i="1" s="1"/>
  <c r="T125" i="1" s="1"/>
  <c r="V125" i="1" s="1"/>
  <c r="X125" i="1" s="1"/>
  <c r="Z125" i="1" s="1"/>
  <c r="AB125" i="1" s="1"/>
  <c r="Q124" i="1"/>
  <c r="S124" i="1" s="1"/>
  <c r="U124" i="1" s="1"/>
  <c r="W124" i="1" s="1"/>
  <c r="Y124" i="1" s="1"/>
  <c r="AA124" i="1" s="1"/>
  <c r="AC124" i="1" s="1"/>
  <c r="AE124" i="1" s="1"/>
  <c r="AG124" i="1" s="1"/>
  <c r="AI124" i="1" s="1"/>
  <c r="AK124" i="1" s="1"/>
  <c r="P124" i="1"/>
  <c r="R124" i="1" s="1"/>
  <c r="T124" i="1" s="1"/>
  <c r="V124" i="1" s="1"/>
  <c r="X124" i="1" s="1"/>
  <c r="Z124" i="1" s="1"/>
  <c r="AB124" i="1" s="1"/>
  <c r="AD124" i="1" s="1"/>
  <c r="AF124" i="1" s="1"/>
  <c r="AH124" i="1" s="1"/>
  <c r="Q123" i="1"/>
  <c r="P123" i="1"/>
  <c r="R123" i="1" s="1"/>
  <c r="T123" i="1" s="1"/>
  <c r="O121" i="1"/>
  <c r="P121" i="1"/>
  <c r="R121" i="1" s="1"/>
  <c r="T121" i="1" s="1"/>
  <c r="V121" i="1" s="1"/>
  <c r="X121" i="1" s="1"/>
  <c r="Z121" i="1" s="1"/>
  <c r="AB121" i="1" s="1"/>
  <c r="P120" i="1"/>
  <c r="R120" i="1" s="1"/>
  <c r="T120" i="1" s="1"/>
  <c r="V120" i="1" s="1"/>
  <c r="O119" i="1"/>
  <c r="Q119" i="1" s="1"/>
  <c r="Q118" i="1"/>
  <c r="S118" i="1" s="1"/>
  <c r="U118" i="1" s="1"/>
  <c r="W118" i="1" s="1"/>
  <c r="Y118" i="1" s="1"/>
  <c r="AA118" i="1" s="1"/>
  <c r="AC118" i="1" s="1"/>
  <c r="AE118" i="1" s="1"/>
  <c r="P118" i="1"/>
  <c r="R118" i="1" s="1"/>
  <c r="T118" i="1" s="1"/>
  <c r="V118" i="1" s="1"/>
  <c r="X118" i="1" s="1"/>
  <c r="Z118" i="1" s="1"/>
  <c r="AB118" i="1" s="1"/>
  <c r="AD118" i="1" s="1"/>
  <c r="AF118" i="1" s="1"/>
  <c r="AH118" i="1" s="1"/>
  <c r="AJ118" i="1" s="1"/>
  <c r="AL118" i="1" s="1"/>
  <c r="AN118" i="1" s="1"/>
  <c r="Q117" i="1"/>
  <c r="S117" i="1" s="1"/>
  <c r="U117" i="1" s="1"/>
  <c r="W117" i="1" s="1"/>
  <c r="Y117" i="1" s="1"/>
  <c r="P117" i="1"/>
  <c r="R117" i="1" s="1"/>
  <c r="T117" i="1" s="1"/>
  <c r="V117" i="1" s="1"/>
  <c r="X117" i="1" s="1"/>
  <c r="Z117" i="1" s="1"/>
  <c r="AB117" i="1" s="1"/>
  <c r="AD117" i="1" s="1"/>
  <c r="AF117" i="1" s="1"/>
  <c r="AH117" i="1" s="1"/>
  <c r="AJ117" i="1" s="1"/>
  <c r="AL117" i="1" s="1"/>
  <c r="AN117" i="1" s="1"/>
  <c r="Q116" i="1"/>
  <c r="S116" i="1" s="1"/>
  <c r="U116" i="1" s="1"/>
  <c r="W116" i="1" s="1"/>
  <c r="Y116" i="1" s="1"/>
  <c r="AA116" i="1" s="1"/>
  <c r="AC116" i="1" s="1"/>
  <c r="AE116" i="1" s="1"/>
  <c r="AG116" i="1" s="1"/>
  <c r="AI116" i="1" s="1"/>
  <c r="P116" i="1"/>
  <c r="R116" i="1" s="1"/>
  <c r="T116" i="1" s="1"/>
  <c r="V116" i="1" s="1"/>
  <c r="X116" i="1" s="1"/>
  <c r="Z116" i="1" s="1"/>
  <c r="AB116" i="1" s="1"/>
  <c r="AD116" i="1" s="1"/>
  <c r="AF116" i="1" s="1"/>
  <c r="AH116" i="1" s="1"/>
  <c r="P115" i="1"/>
  <c r="R115" i="1" s="1"/>
  <c r="T115" i="1" s="1"/>
  <c r="V115" i="1" s="1"/>
  <c r="X115" i="1" s="1"/>
  <c r="Z115" i="1" s="1"/>
  <c r="AD114" i="1"/>
  <c r="AF114" i="1" s="1"/>
  <c r="AH114" i="1" s="1"/>
  <c r="AJ114" i="1" s="1"/>
  <c r="AL114" i="1" s="1"/>
  <c r="AN114" i="1" s="1"/>
  <c r="P114" i="1"/>
  <c r="R114" i="1" s="1"/>
  <c r="T114" i="1" s="1"/>
  <c r="V114" i="1" s="1"/>
  <c r="X114" i="1" s="1"/>
  <c r="Z114" i="1" s="1"/>
  <c r="O113" i="1"/>
  <c r="O112" i="1"/>
  <c r="P112" i="1"/>
  <c r="R112" i="1" s="1"/>
  <c r="T112" i="1" s="1"/>
  <c r="V112" i="1" s="1"/>
  <c r="X112" i="1" s="1"/>
  <c r="Z112" i="1" s="1"/>
  <c r="AB112" i="1" s="1"/>
  <c r="AD112" i="1" s="1"/>
  <c r="AF112" i="1" s="1"/>
  <c r="AH112" i="1" s="1"/>
  <c r="AJ112" i="1" s="1"/>
  <c r="AL112" i="1" s="1"/>
  <c r="AN112" i="1" s="1"/>
  <c r="P110" i="1"/>
  <c r="R110" i="1" s="1"/>
  <c r="T110" i="1" s="1"/>
  <c r="V110" i="1" s="1"/>
  <c r="X110" i="1" s="1"/>
  <c r="Z110" i="1" s="1"/>
  <c r="AB110" i="1" s="1"/>
  <c r="AD110" i="1" s="1"/>
  <c r="AF110" i="1" s="1"/>
  <c r="AH110" i="1" s="1"/>
  <c r="AJ110" i="1" s="1"/>
  <c r="P109" i="1"/>
  <c r="V123" i="1" l="1"/>
  <c r="X123" i="1" s="1"/>
  <c r="Z123" i="1" s="1"/>
  <c r="AB123" i="1" s="1"/>
  <c r="AD123" i="1" s="1"/>
  <c r="AF123" i="1" s="1"/>
  <c r="AH123" i="1" s="1"/>
  <c r="AJ123" i="1" s="1"/>
  <c r="V151" i="1"/>
  <c r="T153" i="1"/>
  <c r="W151" i="1"/>
  <c r="U153" i="1"/>
  <c r="AD126" i="1"/>
  <c r="AF126" i="1" s="1"/>
  <c r="AH126" i="1" s="1"/>
  <c r="V135" i="1"/>
  <c r="X135" i="1" s="1"/>
  <c r="Z135" i="1" s="1"/>
  <c r="AB135" i="1" s="1"/>
  <c r="AD135" i="1" s="1"/>
  <c r="AF135" i="1" s="1"/>
  <c r="AD125" i="1"/>
  <c r="AF125" i="1" s="1"/>
  <c r="AH125" i="1" s="1"/>
  <c r="AJ125" i="1" s="1"/>
  <c r="AL125" i="1" s="1"/>
  <c r="AN125" i="1" s="1"/>
  <c r="AD132" i="1"/>
  <c r="AF132" i="1" s="1"/>
  <c r="AH132" i="1" s="1"/>
  <c r="AJ132" i="1" s="1"/>
  <c r="Z134" i="1"/>
  <c r="AB134" i="1" s="1"/>
  <c r="AD134" i="1" s="1"/>
  <c r="AF134" i="1" s="1"/>
  <c r="AH134" i="1" s="1"/>
  <c r="O130" i="1"/>
  <c r="Y154" i="1"/>
  <c r="W157" i="1"/>
  <c r="X154" i="1"/>
  <c r="V157" i="1"/>
  <c r="R109" i="1"/>
  <c r="AD121" i="1"/>
  <c r="AF121" i="1" s="1"/>
  <c r="AH121" i="1" s="1"/>
  <c r="AJ121" i="1" s="1"/>
  <c r="AB115" i="1"/>
  <c r="AD115" i="1" s="1"/>
  <c r="AF115" i="1" s="1"/>
  <c r="AH115" i="1" s="1"/>
  <c r="AJ115" i="1" s="1"/>
  <c r="AL115" i="1" s="1"/>
  <c r="AN115" i="1" s="1"/>
  <c r="X120" i="1"/>
  <c r="Z120" i="1" s="1"/>
  <c r="AB120" i="1" s="1"/>
  <c r="AD120" i="1" s="1"/>
  <c r="AF120" i="1" s="1"/>
  <c r="AH120" i="1" s="1"/>
  <c r="AJ120" i="1" s="1"/>
  <c r="AL120" i="1" s="1"/>
  <c r="AN120" i="1" s="1"/>
  <c r="AK116" i="1"/>
  <c r="AM116" i="1" s="1"/>
  <c r="AO116" i="1" s="1"/>
  <c r="AJ116" i="1"/>
  <c r="AL116" i="1" s="1"/>
  <c r="AN116" i="1" s="1"/>
  <c r="Q92" i="1"/>
  <c r="S92" i="1" s="1"/>
  <c r="U92" i="1" s="1"/>
  <c r="W92" i="1" s="1"/>
  <c r="P107" i="1"/>
  <c r="R107" i="1" s="1"/>
  <c r="T107" i="1" s="1"/>
  <c r="V107" i="1" s="1"/>
  <c r="X107" i="1" s="1"/>
  <c r="Z107" i="1" s="1"/>
  <c r="AB107" i="1" s="1"/>
  <c r="AD107" i="1" s="1"/>
  <c r="AF107" i="1" s="1"/>
  <c r="E106" i="1"/>
  <c r="O106" i="1"/>
  <c r="P105" i="1"/>
  <c r="R105" i="1" s="1"/>
  <c r="T105" i="1" s="1"/>
  <c r="V105" i="1" s="1"/>
  <c r="X105" i="1" s="1"/>
  <c r="Z105" i="1" s="1"/>
  <c r="AB105" i="1" s="1"/>
  <c r="AD105" i="1" s="1"/>
  <c r="AF105" i="1" s="1"/>
  <c r="AH105" i="1" s="1"/>
  <c r="O91" i="1"/>
  <c r="P90" i="1"/>
  <c r="R90" i="1" s="1"/>
  <c r="T90" i="1" s="1"/>
  <c r="V90" i="1" s="1"/>
  <c r="X90" i="1" s="1"/>
  <c r="Z90" i="1" s="1"/>
  <c r="AB90" i="1" s="1"/>
  <c r="AD90" i="1" s="1"/>
  <c r="AF90" i="1" s="1"/>
  <c r="AH90" i="1" s="1"/>
  <c r="O89" i="1"/>
  <c r="Q89" i="1" s="1"/>
  <c r="Q88" i="1"/>
  <c r="S88" i="1" s="1"/>
  <c r="U88" i="1" s="1"/>
  <c r="W88" i="1" s="1"/>
  <c r="Y88" i="1" s="1"/>
  <c r="AA88" i="1" s="1"/>
  <c r="AC88" i="1" s="1"/>
  <c r="AE88" i="1" s="1"/>
  <c r="AG88" i="1" s="1"/>
  <c r="AI88" i="1" s="1"/>
  <c r="AK88" i="1" s="1"/>
  <c r="AM88" i="1" s="1"/>
  <c r="AO88" i="1" s="1"/>
  <c r="P88" i="1"/>
  <c r="R88" i="1" s="1"/>
  <c r="T88" i="1" s="1"/>
  <c r="V88" i="1" s="1"/>
  <c r="X88" i="1" s="1"/>
  <c r="Z88" i="1" s="1"/>
  <c r="AB88" i="1" s="1"/>
  <c r="AD88" i="1" s="1"/>
  <c r="AF88" i="1" s="1"/>
  <c r="AH88" i="1" s="1"/>
  <c r="AJ88" i="1" s="1"/>
  <c r="AL88" i="1" s="1"/>
  <c r="AN88" i="1" s="1"/>
  <c r="O104" i="1"/>
  <c r="P103" i="1"/>
  <c r="R103" i="1" s="1"/>
  <c r="Q86" i="1"/>
  <c r="S86" i="1" s="1"/>
  <c r="P85" i="1"/>
  <c r="R85" i="1" s="1"/>
  <c r="T85" i="1" s="1"/>
  <c r="V85" i="1" s="1"/>
  <c r="X85" i="1" s="1"/>
  <c r="Z85" i="1" s="1"/>
  <c r="AB85" i="1" s="1"/>
  <c r="AD85" i="1" s="1"/>
  <c r="O85" i="1"/>
  <c r="O102" i="1"/>
  <c r="Q102" i="1" s="1"/>
  <c r="Q99" i="1"/>
  <c r="P98" i="1"/>
  <c r="R98" i="1" s="1"/>
  <c r="T98" i="1" s="1"/>
  <c r="V98" i="1" s="1"/>
  <c r="X98" i="1" s="1"/>
  <c r="Z98" i="1" s="1"/>
  <c r="AB98" i="1" s="1"/>
  <c r="AD98" i="1" s="1"/>
  <c r="AF98" i="1" s="1"/>
  <c r="AH98" i="1" s="1"/>
  <c r="AJ98" i="1" s="1"/>
  <c r="AL98" i="1" s="1"/>
  <c r="AN98" i="1" s="1"/>
  <c r="P97" i="1"/>
  <c r="R97" i="1" s="1"/>
  <c r="T97" i="1" s="1"/>
  <c r="V97" i="1" s="1"/>
  <c r="X97" i="1" s="1"/>
  <c r="Z97" i="1" s="1"/>
  <c r="AB97" i="1" s="1"/>
  <c r="AD97" i="1" s="1"/>
  <c r="AF97" i="1" s="1"/>
  <c r="AH97" i="1" s="1"/>
  <c r="R83" i="1"/>
  <c r="T83" i="1" s="1"/>
  <c r="Q81" i="1"/>
  <c r="P96" i="1"/>
  <c r="R96" i="1" s="1"/>
  <c r="T96" i="1" s="1"/>
  <c r="P80" i="1"/>
  <c r="P78" i="1"/>
  <c r="R78" i="1" s="1"/>
  <c r="T78" i="1" s="1"/>
  <c r="V78" i="1" s="1"/>
  <c r="X78" i="1" s="1"/>
  <c r="Z78" i="1" s="1"/>
  <c r="AB78" i="1" s="1"/>
  <c r="AD78" i="1" s="1"/>
  <c r="AF78" i="1" s="1"/>
  <c r="AH78" i="1" s="1"/>
  <c r="AJ78" i="1" s="1"/>
  <c r="Z76" i="1"/>
  <c r="AB76" i="1" s="1"/>
  <c r="AD76" i="1" s="1"/>
  <c r="AF76" i="1" s="1"/>
  <c r="AH76" i="1" s="1"/>
  <c r="AJ76" i="1" s="1"/>
  <c r="AL76" i="1" s="1"/>
  <c r="AN76" i="1" s="1"/>
  <c r="Q76" i="1"/>
  <c r="S76" i="1" s="1"/>
  <c r="U76" i="1" s="1"/>
  <c r="W76" i="1" s="1"/>
  <c r="P76" i="1"/>
  <c r="R76" i="1" s="1"/>
  <c r="T76" i="1" s="1"/>
  <c r="V76" i="1" s="1"/>
  <c r="O75" i="1"/>
  <c r="Q75" i="1" s="1"/>
  <c r="Y151" i="1" l="1"/>
  <c r="W153" i="1"/>
  <c r="X151" i="1"/>
  <c r="V153" i="1"/>
  <c r="AF85" i="1"/>
  <c r="AH85" i="1" s="1"/>
  <c r="U86" i="1"/>
  <c r="W86" i="1" s="1"/>
  <c r="S99" i="1"/>
  <c r="U99" i="1" s="1"/>
  <c r="AJ134" i="1"/>
  <c r="AL134" i="1" s="1"/>
  <c r="AN134" i="1" s="1"/>
  <c r="V83" i="1"/>
  <c r="X83" i="1" s="1"/>
  <c r="Z83" i="1" s="1"/>
  <c r="AB83" i="1" s="1"/>
  <c r="AD83" i="1" s="1"/>
  <c r="T103" i="1"/>
  <c r="V103" i="1" s="1"/>
  <c r="X103" i="1" s="1"/>
  <c r="Z103" i="1" s="1"/>
  <c r="AB103" i="1" s="1"/>
  <c r="AD103" i="1" s="1"/>
  <c r="AF103" i="1" s="1"/>
  <c r="AH103" i="1" s="1"/>
  <c r="AJ103" i="1" s="1"/>
  <c r="AL103" i="1" s="1"/>
  <c r="AN103" i="1" s="1"/>
  <c r="O93" i="1"/>
  <c r="Z154" i="1"/>
  <c r="X157" i="1"/>
  <c r="AA154" i="1"/>
  <c r="Y157" i="1"/>
  <c r="T109" i="1"/>
  <c r="V109" i="1" s="1"/>
  <c r="AH107" i="1"/>
  <c r="AJ107" i="1" s="1"/>
  <c r="AL107" i="1" s="1"/>
  <c r="AN107" i="1" s="1"/>
  <c r="S83" i="1"/>
  <c r="U83" i="1" s="1"/>
  <c r="W83" i="1" s="1"/>
  <c r="O108" i="1"/>
  <c r="AH135" i="1"/>
  <c r="AJ135" i="1" s="1"/>
  <c r="S81" i="1"/>
  <c r="U81" i="1" s="1"/>
  <c r="W81" i="1" s="1"/>
  <c r="Y81" i="1" s="1"/>
  <c r="AA81" i="1" s="1"/>
  <c r="AC81" i="1" s="1"/>
  <c r="V96" i="1"/>
  <c r="X96" i="1" s="1"/>
  <c r="Z96" i="1" s="1"/>
  <c r="AB96" i="1" s="1"/>
  <c r="AD96" i="1" s="1"/>
  <c r="AF96" i="1" s="1"/>
  <c r="AH96" i="1" s="1"/>
  <c r="AJ96" i="1" s="1"/>
  <c r="AL96" i="1" s="1"/>
  <c r="AN96" i="1" s="1"/>
  <c r="P9" i="1"/>
  <c r="P10" i="1" s="1"/>
  <c r="Q9" i="1"/>
  <c r="P11" i="1"/>
  <c r="Q11" i="1"/>
  <c r="S11" i="1" s="1"/>
  <c r="U11" i="1" s="1"/>
  <c r="Q12" i="1"/>
  <c r="S12" i="1" s="1"/>
  <c r="U12" i="1" s="1"/>
  <c r="W12" i="1" s="1"/>
  <c r="P13" i="1"/>
  <c r="R13" i="1" s="1"/>
  <c r="S14" i="1"/>
  <c r="U14" i="1" s="1"/>
  <c r="W14" i="1" s="1"/>
  <c r="P16" i="1"/>
  <c r="R16" i="1" s="1"/>
  <c r="T16" i="1" s="1"/>
  <c r="Q17" i="1"/>
  <c r="P18" i="1"/>
  <c r="R18" i="1" s="1"/>
  <c r="T18" i="1" s="1"/>
  <c r="Q18" i="1"/>
  <c r="S18" i="1" s="1"/>
  <c r="U18" i="1" s="1"/>
  <c r="P19" i="1"/>
  <c r="Q19" i="1"/>
  <c r="S19" i="1" s="1"/>
  <c r="U19" i="1" s="1"/>
  <c r="P22" i="1"/>
  <c r="R22" i="1" s="1"/>
  <c r="T22" i="1" s="1"/>
  <c r="P23" i="1"/>
  <c r="R23" i="1" s="1"/>
  <c r="T23" i="1" s="1"/>
  <c r="Q23" i="1"/>
  <c r="S23" i="1" s="1"/>
  <c r="U23" i="1" s="1"/>
  <c r="P25" i="1"/>
  <c r="R25" i="1" s="1"/>
  <c r="Q25" i="1"/>
  <c r="S25" i="1" s="1"/>
  <c r="U25" i="1" s="1"/>
  <c r="P26" i="1"/>
  <c r="R26" i="1" s="1"/>
  <c r="T26" i="1" s="1"/>
  <c r="R28" i="1"/>
  <c r="T28" i="1" s="1"/>
  <c r="Q28" i="1"/>
  <c r="S28" i="1" s="1"/>
  <c r="U28" i="1" s="1"/>
  <c r="Q29" i="1"/>
  <c r="S29" i="1" s="1"/>
  <c r="U29" i="1" s="1"/>
  <c r="R30" i="1"/>
  <c r="T30" i="1" s="1"/>
  <c r="Q30" i="1"/>
  <c r="S30" i="1" s="1"/>
  <c r="U30" i="1" s="1"/>
  <c r="W30" i="1" s="1"/>
  <c r="R31" i="1"/>
  <c r="T31" i="1" s="1"/>
  <c r="Q31" i="1"/>
  <c r="S31" i="1" s="1"/>
  <c r="U31" i="1" s="1"/>
  <c r="Q32" i="1"/>
  <c r="S32" i="1" s="1"/>
  <c r="U32" i="1" s="1"/>
  <c r="P34" i="1"/>
  <c r="R34" i="1" s="1"/>
  <c r="T34" i="1" s="1"/>
  <c r="P37" i="1"/>
  <c r="R37" i="1" s="1"/>
  <c r="Q37" i="1"/>
  <c r="S37" i="1" s="1"/>
  <c r="U37" i="1" s="1"/>
  <c r="P38" i="1"/>
  <c r="R38" i="1" s="1"/>
  <c r="T38" i="1" s="1"/>
  <c r="Q38" i="1"/>
  <c r="S38" i="1" s="1"/>
  <c r="U38" i="1" s="1"/>
  <c r="P39" i="1"/>
  <c r="R39" i="1" s="1"/>
  <c r="T39" i="1" s="1"/>
  <c r="Q39" i="1"/>
  <c r="S39" i="1" s="1"/>
  <c r="U39" i="1" s="1"/>
  <c r="P40" i="1"/>
  <c r="R40" i="1" s="1"/>
  <c r="T40" i="1" s="1"/>
  <c r="Q40" i="1"/>
  <c r="S40" i="1" s="1"/>
  <c r="U40" i="1" s="1"/>
  <c r="P41" i="1"/>
  <c r="R41" i="1" s="1"/>
  <c r="T41" i="1" s="1"/>
  <c r="Q41" i="1"/>
  <c r="S41" i="1" s="1"/>
  <c r="U41" i="1" s="1"/>
  <c r="P44" i="1"/>
  <c r="R44" i="1" s="1"/>
  <c r="T44" i="1" s="1"/>
  <c r="Q44" i="1"/>
  <c r="P45" i="1"/>
  <c r="R45" i="1" s="1"/>
  <c r="T45" i="1" s="1"/>
  <c r="P46" i="1"/>
  <c r="R46" i="1" s="1"/>
  <c r="T46" i="1" s="1"/>
  <c r="Q46" i="1"/>
  <c r="S46" i="1" s="1"/>
  <c r="U46" i="1" s="1"/>
  <c r="P47" i="1"/>
  <c r="R47" i="1" s="1"/>
  <c r="T47" i="1" s="1"/>
  <c r="Q47" i="1"/>
  <c r="S47" i="1" s="1"/>
  <c r="U47" i="1" s="1"/>
  <c r="P49" i="1"/>
  <c r="R49" i="1" s="1"/>
  <c r="T49" i="1" s="1"/>
  <c r="Q49" i="1"/>
  <c r="S49" i="1" s="1"/>
  <c r="U49" i="1" s="1"/>
  <c r="P50" i="1"/>
  <c r="R50" i="1" s="1"/>
  <c r="T50" i="1" s="1"/>
  <c r="Q50" i="1"/>
  <c r="S50" i="1" s="1"/>
  <c r="U50" i="1" s="1"/>
  <c r="P51" i="1"/>
  <c r="R51" i="1" s="1"/>
  <c r="T51" i="1" s="1"/>
  <c r="Q51" i="1"/>
  <c r="S51" i="1" s="1"/>
  <c r="U51" i="1" s="1"/>
  <c r="P53" i="1"/>
  <c r="R53" i="1" s="1"/>
  <c r="T53" i="1" s="1"/>
  <c r="Q53" i="1"/>
  <c r="S53" i="1" s="1"/>
  <c r="U53" i="1" s="1"/>
  <c r="P55" i="1"/>
  <c r="R55" i="1" s="1"/>
  <c r="T55" i="1" s="1"/>
  <c r="Q55" i="1"/>
  <c r="S55" i="1" s="1"/>
  <c r="U55" i="1" s="1"/>
  <c r="P56" i="1"/>
  <c r="P57" i="1"/>
  <c r="R57" i="1" s="1"/>
  <c r="T57" i="1" s="1"/>
  <c r="Q57" i="1"/>
  <c r="S57" i="1" s="1"/>
  <c r="U57" i="1" s="1"/>
  <c r="Q59" i="1"/>
  <c r="S59" i="1" s="1"/>
  <c r="U59" i="1" s="1"/>
  <c r="Q60" i="1"/>
  <c r="S60" i="1" s="1"/>
  <c r="U60" i="1" s="1"/>
  <c r="P62" i="1"/>
  <c r="R62" i="1" s="1"/>
  <c r="T62" i="1" s="1"/>
  <c r="P63" i="1"/>
  <c r="R63" i="1" s="1"/>
  <c r="T63" i="1" s="1"/>
  <c r="Q63" i="1"/>
  <c r="S63" i="1" s="1"/>
  <c r="U63" i="1" s="1"/>
  <c r="P64" i="1"/>
  <c r="R64" i="1" s="1"/>
  <c r="T64" i="1" s="1"/>
  <c r="Q64" i="1"/>
  <c r="S64" i="1" s="1"/>
  <c r="U64" i="1" s="1"/>
  <c r="Q65" i="1"/>
  <c r="S65" i="1" s="1"/>
  <c r="U65" i="1" s="1"/>
  <c r="W65" i="1" s="1"/>
  <c r="P66" i="1"/>
  <c r="R66" i="1" s="1"/>
  <c r="T66" i="1" s="1"/>
  <c r="Q66" i="1"/>
  <c r="S66" i="1" s="1"/>
  <c r="U66" i="1" s="1"/>
  <c r="Q67" i="1"/>
  <c r="S67" i="1" s="1"/>
  <c r="U67" i="1" s="1"/>
  <c r="P68" i="1"/>
  <c r="R68" i="1" s="1"/>
  <c r="T68" i="1" s="1"/>
  <c r="Q68" i="1"/>
  <c r="S68" i="1" s="1"/>
  <c r="U68" i="1" s="1"/>
  <c r="W68" i="1" s="1"/>
  <c r="Y68" i="1" s="1"/>
  <c r="AA68" i="1" s="1"/>
  <c r="P69" i="1"/>
  <c r="R69" i="1" s="1"/>
  <c r="T69" i="1" s="1"/>
  <c r="Q69" i="1"/>
  <c r="S69" i="1" s="1"/>
  <c r="U69" i="1" s="1"/>
  <c r="Q70" i="1"/>
  <c r="S70" i="1" s="1"/>
  <c r="U70" i="1" s="1"/>
  <c r="Q71" i="1"/>
  <c r="S71" i="1" s="1"/>
  <c r="U71" i="1" s="1"/>
  <c r="W71" i="1" s="1"/>
  <c r="P72" i="1"/>
  <c r="R72" i="1" s="1"/>
  <c r="T72" i="1" s="1"/>
  <c r="V72" i="1" s="1"/>
  <c r="Q72" i="1"/>
  <c r="S72" i="1" s="1"/>
  <c r="U72" i="1" s="1"/>
  <c r="W72" i="1" s="1"/>
  <c r="P73" i="1"/>
  <c r="R73" i="1" s="1"/>
  <c r="T73" i="1" s="1"/>
  <c r="Q73" i="1"/>
  <c r="S73" i="1" s="1"/>
  <c r="U73" i="1" s="1"/>
  <c r="W73" i="1" s="1"/>
  <c r="Y73" i="1" s="1"/>
  <c r="AA73" i="1" s="1"/>
  <c r="P74" i="1"/>
  <c r="R74" i="1" s="1"/>
  <c r="T74" i="1" s="1"/>
  <c r="Q74" i="1"/>
  <c r="S74" i="1" s="1"/>
  <c r="U74" i="1" s="1"/>
  <c r="P75" i="1"/>
  <c r="R75" i="1" s="1"/>
  <c r="T75" i="1" s="1"/>
  <c r="S75" i="1"/>
  <c r="U75" i="1" s="1"/>
  <c r="W75" i="1" s="1"/>
  <c r="P77" i="1"/>
  <c r="R77" i="1" s="1"/>
  <c r="T77" i="1" s="1"/>
  <c r="Q77" i="1"/>
  <c r="S77" i="1" s="1"/>
  <c r="U77" i="1" s="1"/>
  <c r="W77" i="1" s="1"/>
  <c r="Y77" i="1" s="1"/>
  <c r="Q78" i="1"/>
  <c r="S78" i="1" s="1"/>
  <c r="U78" i="1" s="1"/>
  <c r="W78" i="1" s="1"/>
  <c r="Y78" i="1" s="1"/>
  <c r="AA78" i="1" s="1"/>
  <c r="Q80" i="1"/>
  <c r="P95" i="1"/>
  <c r="R95" i="1" s="1"/>
  <c r="T95" i="1" s="1"/>
  <c r="Q95" i="1"/>
  <c r="S95" i="1" s="1"/>
  <c r="U95" i="1" s="1"/>
  <c r="Q96" i="1"/>
  <c r="S96" i="1" s="1"/>
  <c r="U96" i="1" s="1"/>
  <c r="P81" i="1"/>
  <c r="P82" i="1"/>
  <c r="R82" i="1" s="1"/>
  <c r="T82" i="1" s="1"/>
  <c r="Q82" i="1"/>
  <c r="S82" i="1" s="1"/>
  <c r="U82" i="1" s="1"/>
  <c r="Q84" i="1"/>
  <c r="Q97" i="1"/>
  <c r="S97" i="1" s="1"/>
  <c r="U97" i="1" s="1"/>
  <c r="Q98" i="1"/>
  <c r="S98" i="1" s="1"/>
  <c r="U98" i="1" s="1"/>
  <c r="Q100" i="1"/>
  <c r="S100" i="1" s="1"/>
  <c r="U100" i="1" s="1"/>
  <c r="W100" i="1" s="1"/>
  <c r="P101" i="1"/>
  <c r="R101" i="1" s="1"/>
  <c r="T101" i="1" s="1"/>
  <c r="Q101" i="1"/>
  <c r="S101" i="1" s="1"/>
  <c r="U101" i="1" s="1"/>
  <c r="P102" i="1"/>
  <c r="R102" i="1" s="1"/>
  <c r="T102" i="1" s="1"/>
  <c r="S102" i="1"/>
  <c r="U102" i="1" s="1"/>
  <c r="Q85" i="1"/>
  <c r="S85" i="1" s="1"/>
  <c r="U85" i="1" s="1"/>
  <c r="W85" i="1" s="1"/>
  <c r="P87" i="1"/>
  <c r="R87" i="1" s="1"/>
  <c r="T87" i="1" s="1"/>
  <c r="Q87" i="1"/>
  <c r="S87" i="1" s="1"/>
  <c r="U87" i="1" s="1"/>
  <c r="W87" i="1" s="1"/>
  <c r="Y87" i="1" s="1"/>
  <c r="Q103" i="1"/>
  <c r="S103" i="1" s="1"/>
  <c r="U103" i="1" s="1"/>
  <c r="Q104" i="1"/>
  <c r="S104" i="1" s="1"/>
  <c r="U104" i="1" s="1"/>
  <c r="W104" i="1" s="1"/>
  <c r="Y104" i="1" s="1"/>
  <c r="AA104" i="1" s="1"/>
  <c r="P89" i="1"/>
  <c r="R89" i="1" s="1"/>
  <c r="T89" i="1" s="1"/>
  <c r="Q90" i="1"/>
  <c r="S90" i="1" s="1"/>
  <c r="U90" i="1" s="1"/>
  <c r="W90" i="1" s="1"/>
  <c r="P91" i="1"/>
  <c r="R91" i="1" s="1"/>
  <c r="T91" i="1" s="1"/>
  <c r="Q91" i="1"/>
  <c r="S91" i="1" s="1"/>
  <c r="U91" i="1" s="1"/>
  <c r="Q105" i="1"/>
  <c r="S105" i="1" s="1"/>
  <c r="U105" i="1" s="1"/>
  <c r="W105" i="1" s="1"/>
  <c r="P106" i="1"/>
  <c r="R106" i="1" s="1"/>
  <c r="T106" i="1" s="1"/>
  <c r="Q106" i="1"/>
  <c r="S106" i="1" s="1"/>
  <c r="U106" i="1" s="1"/>
  <c r="Q107" i="1"/>
  <c r="S107" i="1" s="1"/>
  <c r="U107" i="1" s="1"/>
  <c r="Q109" i="1"/>
  <c r="Q110" i="1"/>
  <c r="S110" i="1" s="1"/>
  <c r="U110" i="1" s="1"/>
  <c r="W110" i="1" s="1"/>
  <c r="P111" i="1"/>
  <c r="Q111" i="1"/>
  <c r="S111" i="1" s="1"/>
  <c r="U111" i="1" s="1"/>
  <c r="Q112" i="1"/>
  <c r="S112" i="1" s="1"/>
  <c r="U112" i="1" s="1"/>
  <c r="P113" i="1"/>
  <c r="R113" i="1" s="1"/>
  <c r="T113" i="1" s="1"/>
  <c r="Q113" i="1"/>
  <c r="Q114" i="1"/>
  <c r="S114" i="1" s="1"/>
  <c r="U114" i="1" s="1"/>
  <c r="Q115" i="1"/>
  <c r="S115" i="1" s="1"/>
  <c r="U115" i="1" s="1"/>
  <c r="P119" i="1"/>
  <c r="R119" i="1" s="1"/>
  <c r="T119" i="1" s="1"/>
  <c r="S119" i="1"/>
  <c r="U119" i="1" s="1"/>
  <c r="Q120" i="1"/>
  <c r="S120" i="1" s="1"/>
  <c r="U120" i="1" s="1"/>
  <c r="W120" i="1" s="1"/>
  <c r="Q121" i="1"/>
  <c r="S121" i="1" s="1"/>
  <c r="U121" i="1" s="1"/>
  <c r="W121" i="1" s="1"/>
  <c r="Y121" i="1" s="1"/>
  <c r="AA121" i="1" s="1"/>
  <c r="AC121" i="1" s="1"/>
  <c r="AE121" i="1" s="1"/>
  <c r="AG121" i="1" s="1"/>
  <c r="P122" i="1"/>
  <c r="R122" i="1" s="1"/>
  <c r="T122" i="1" s="1"/>
  <c r="Q122" i="1"/>
  <c r="S122" i="1" s="1"/>
  <c r="U122" i="1" s="1"/>
  <c r="Q126" i="1"/>
  <c r="S126" i="1" s="1"/>
  <c r="Q127" i="1"/>
  <c r="S127" i="1" s="1"/>
  <c r="P128" i="1"/>
  <c r="R128" i="1" s="1"/>
  <c r="T128" i="1" s="1"/>
  <c r="P131" i="1"/>
  <c r="R131" i="1" s="1"/>
  <c r="T131" i="1" s="1"/>
  <c r="Q132" i="1"/>
  <c r="S132" i="1" s="1"/>
  <c r="U132" i="1" s="1"/>
  <c r="P133" i="1"/>
  <c r="R133" i="1" s="1"/>
  <c r="S133" i="1"/>
  <c r="U133" i="1" s="1"/>
  <c r="S134" i="1"/>
  <c r="U134" i="1" s="1"/>
  <c r="P140" i="1"/>
  <c r="R140" i="1" s="1"/>
  <c r="T140" i="1" s="1"/>
  <c r="Q140" i="1"/>
  <c r="S140" i="1" s="1"/>
  <c r="U140" i="1" s="1"/>
  <c r="P142" i="1"/>
  <c r="R142" i="1" s="1"/>
  <c r="Q144" i="1"/>
  <c r="S144" i="1" s="1"/>
  <c r="U144" i="1" s="1"/>
  <c r="P146" i="1"/>
  <c r="R146" i="1" s="1"/>
  <c r="T146" i="1" s="1"/>
  <c r="Q146" i="1"/>
  <c r="P148" i="1"/>
  <c r="R148" i="1" s="1"/>
  <c r="T148" i="1" s="1"/>
  <c r="Q148" i="1"/>
  <c r="S148" i="1" s="1"/>
  <c r="U148" i="1" s="1"/>
  <c r="W148" i="1" s="1"/>
  <c r="P149" i="1"/>
  <c r="R149" i="1" s="1"/>
  <c r="T149" i="1" s="1"/>
  <c r="R6" i="1"/>
  <c r="R7" i="1" s="1"/>
  <c r="S6" i="1"/>
  <c r="R12" i="1"/>
  <c r="T12" i="1" s="1"/>
  <c r="R14" i="1"/>
  <c r="T14" i="1" s="1"/>
  <c r="V14" i="1" s="1"/>
  <c r="R36" i="1"/>
  <c r="T36" i="1" s="1"/>
  <c r="S36" i="1"/>
  <c r="U36" i="1" s="1"/>
  <c r="R42" i="1"/>
  <c r="T42" i="1" s="1"/>
  <c r="S42" i="1"/>
  <c r="U42" i="1" s="1"/>
  <c r="R65" i="1"/>
  <c r="T65" i="1" s="1"/>
  <c r="S89" i="1"/>
  <c r="U89" i="1" s="1"/>
  <c r="W89" i="1" s="1"/>
  <c r="Y89" i="1" s="1"/>
  <c r="AA89" i="1" s="1"/>
  <c r="AC89" i="1" s="1"/>
  <c r="AE89" i="1" s="1"/>
  <c r="S123" i="1"/>
  <c r="U123" i="1" s="1"/>
  <c r="S128" i="1"/>
  <c r="U128" i="1" s="1"/>
  <c r="S135" i="1"/>
  <c r="U135" i="1" s="1"/>
  <c r="U137" i="1"/>
  <c r="U142" i="1"/>
  <c r="W142" i="1" s="1"/>
  <c r="S149" i="1"/>
  <c r="U149" i="1" s="1"/>
  <c r="O62" i="1"/>
  <c r="Q62" i="1" s="1"/>
  <c r="S62" i="1" s="1"/>
  <c r="U62" i="1" s="1"/>
  <c r="U127" i="1" l="1"/>
  <c r="W127" i="1" s="1"/>
  <c r="Y127" i="1" s="1"/>
  <c r="W123" i="1"/>
  <c r="Y123" i="1" s="1"/>
  <c r="X109" i="1"/>
  <c r="Z151" i="1"/>
  <c r="X153" i="1"/>
  <c r="AG89" i="1"/>
  <c r="AI89" i="1" s="1"/>
  <c r="AK89" i="1" s="1"/>
  <c r="AM89" i="1" s="1"/>
  <c r="AO89" i="1" s="1"/>
  <c r="W135" i="1"/>
  <c r="Y135" i="1" s="1"/>
  <c r="AA151" i="1"/>
  <c r="Y153" i="1"/>
  <c r="W99" i="1"/>
  <c r="Y99" i="1" s="1"/>
  <c r="S113" i="1"/>
  <c r="U113" i="1" s="1"/>
  <c r="W113" i="1" s="1"/>
  <c r="Y113" i="1" s="1"/>
  <c r="AF83" i="1"/>
  <c r="AH83" i="1" s="1"/>
  <c r="AJ83" i="1" s="1"/>
  <c r="AL83" i="1" s="1"/>
  <c r="AN83" i="1" s="1"/>
  <c r="AC68" i="1"/>
  <c r="AE68" i="1" s="1"/>
  <c r="Y83" i="1"/>
  <c r="Y65" i="1"/>
  <c r="AA65" i="1" s="1"/>
  <c r="AC65" i="1" s="1"/>
  <c r="AE65" i="1" s="1"/>
  <c r="AG65" i="1" s="1"/>
  <c r="Q93" i="1"/>
  <c r="S9" i="1"/>
  <c r="Q10" i="1"/>
  <c r="T6" i="1"/>
  <c r="V6" i="1" s="1"/>
  <c r="V7" i="1" s="1"/>
  <c r="AC154" i="1"/>
  <c r="AA157" i="1"/>
  <c r="U6" i="1"/>
  <c r="S7" i="1"/>
  <c r="AB154" i="1"/>
  <c r="Z157" i="1"/>
  <c r="R111" i="1"/>
  <c r="T111" i="1" s="1"/>
  <c r="S109" i="1"/>
  <c r="Q130" i="1"/>
  <c r="Y90" i="1"/>
  <c r="AA90" i="1" s="1"/>
  <c r="AC90" i="1" s="1"/>
  <c r="AE90" i="1" s="1"/>
  <c r="AE81" i="1"/>
  <c r="AG81" i="1" s="1"/>
  <c r="P138" i="1"/>
  <c r="S84" i="1"/>
  <c r="U84" i="1" s="1"/>
  <c r="S80" i="1"/>
  <c r="Q108" i="1"/>
  <c r="R9" i="1"/>
  <c r="R10" i="1" s="1"/>
  <c r="P24" i="1"/>
  <c r="R19" i="1"/>
  <c r="T19" i="1" s="1"/>
  <c r="V19" i="1" s="1"/>
  <c r="X19" i="1" s="1"/>
  <c r="Z19" i="1" s="1"/>
  <c r="AB19" i="1" s="1"/>
  <c r="P150" i="1"/>
  <c r="R81" i="1"/>
  <c r="T81" i="1" s="1"/>
  <c r="AC78" i="1"/>
  <c r="AE78" i="1" s="1"/>
  <c r="AG78" i="1" s="1"/>
  <c r="S44" i="1"/>
  <c r="U44" i="1" s="1"/>
  <c r="U126" i="1"/>
  <c r="Q150" i="1"/>
  <c r="S146" i="1"/>
  <c r="S150" i="1" s="1"/>
  <c r="AC73" i="1"/>
  <c r="AE73" i="1" s="1"/>
  <c r="AG73" i="1" s="1"/>
  <c r="AI73" i="1" s="1"/>
  <c r="AK73" i="1" s="1"/>
  <c r="AM73" i="1" s="1"/>
  <c r="P54" i="1"/>
  <c r="P35" i="1"/>
  <c r="S17" i="1"/>
  <c r="R17" i="1"/>
  <c r="T17" i="1" s="1"/>
  <c r="P15" i="1"/>
  <c r="R138" i="1"/>
  <c r="P79" i="1"/>
  <c r="T37" i="1"/>
  <c r="T54" i="1" s="1"/>
  <c r="R54" i="1"/>
  <c r="T25" i="1"/>
  <c r="T35" i="1" s="1"/>
  <c r="R35" i="1"/>
  <c r="U138" i="1"/>
  <c r="S138" i="1"/>
  <c r="T13" i="1"/>
  <c r="R150" i="1"/>
  <c r="T142" i="1"/>
  <c r="T133" i="1"/>
  <c r="T138" i="1" s="1"/>
  <c r="R80" i="1"/>
  <c r="R11" i="1"/>
  <c r="T11" i="1" s="1"/>
  <c r="R56" i="1"/>
  <c r="R79" i="1" s="1"/>
  <c r="Q138" i="1"/>
  <c r="O58" i="1"/>
  <c r="Q58" i="1" s="1"/>
  <c r="S58" i="1" s="1"/>
  <c r="U58" i="1" s="1"/>
  <c r="O56" i="1"/>
  <c r="Q56" i="1" s="1"/>
  <c r="S56" i="1" s="1"/>
  <c r="U56" i="1" s="1"/>
  <c r="Q45" i="1"/>
  <c r="S45" i="1" s="1"/>
  <c r="U45" i="1" s="1"/>
  <c r="O34" i="1"/>
  <c r="Q34" i="1" s="1"/>
  <c r="S34" i="1" s="1"/>
  <c r="U34" i="1" s="1"/>
  <c r="W34" i="1" s="1"/>
  <c r="O26" i="1"/>
  <c r="Q26" i="1" s="1"/>
  <c r="S26" i="1" s="1"/>
  <c r="U26" i="1" s="1"/>
  <c r="O22" i="1"/>
  <c r="Q22" i="1" s="1"/>
  <c r="S22" i="1" s="1"/>
  <c r="U22" i="1" s="1"/>
  <c r="O16" i="1"/>
  <c r="Q16" i="1" s="1"/>
  <c r="S16" i="1" s="1"/>
  <c r="U16" i="1" s="1"/>
  <c r="Y125" i="1"/>
  <c r="AA125" i="1" s="1"/>
  <c r="AC125" i="1" s="1"/>
  <c r="AE125" i="1" s="1"/>
  <c r="W91" i="1"/>
  <c r="Y75" i="1"/>
  <c r="W67" i="1"/>
  <c r="Y67" i="1" s="1"/>
  <c r="W50" i="1"/>
  <c r="W149" i="1"/>
  <c r="Y149" i="1" s="1"/>
  <c r="AA149" i="1" s="1"/>
  <c r="Y148" i="1"/>
  <c r="AK145" i="1"/>
  <c r="AM145" i="1" s="1"/>
  <c r="AO145" i="1" s="1"/>
  <c r="W144" i="1"/>
  <c r="Y144" i="1" s="1"/>
  <c r="AA144" i="1" s="1"/>
  <c r="AC144" i="1" s="1"/>
  <c r="AE144" i="1" s="1"/>
  <c r="AG144" i="1" s="1"/>
  <c r="AI144" i="1" s="1"/>
  <c r="AK144" i="1" s="1"/>
  <c r="AM144" i="1" s="1"/>
  <c r="AO144" i="1" s="1"/>
  <c r="W137" i="1"/>
  <c r="W134" i="1"/>
  <c r="Y134" i="1" s="1"/>
  <c r="AA134" i="1" s="1"/>
  <c r="W133" i="1"/>
  <c r="Y133" i="1" s="1"/>
  <c r="AA133" i="1" s="1"/>
  <c r="AC133" i="1" s="1"/>
  <c r="AE133" i="1" s="1"/>
  <c r="AG133" i="1" s="1"/>
  <c r="W132" i="1"/>
  <c r="Y132" i="1" s="1"/>
  <c r="AA132" i="1" s="1"/>
  <c r="AC132" i="1" s="1"/>
  <c r="AE132" i="1" s="1"/>
  <c r="AG132" i="1" s="1"/>
  <c r="W128" i="1"/>
  <c r="Y128" i="1" s="1"/>
  <c r="AA128" i="1" s="1"/>
  <c r="AC128" i="1" s="1"/>
  <c r="AE128" i="1" s="1"/>
  <c r="AM124" i="1"/>
  <c r="AO124" i="1" s="1"/>
  <c r="W122" i="1"/>
  <c r="Y122" i="1" s="1"/>
  <c r="AA122" i="1" s="1"/>
  <c r="AC122" i="1" s="1"/>
  <c r="AE122" i="1" s="1"/>
  <c r="AG122" i="1" s="1"/>
  <c r="AI122" i="1" s="1"/>
  <c r="AK122" i="1" s="1"/>
  <c r="AM122" i="1" s="1"/>
  <c r="AO122" i="1" s="1"/>
  <c r="AI121" i="1"/>
  <c r="Y120" i="1"/>
  <c r="AA120" i="1" s="1"/>
  <c r="W119" i="1"/>
  <c r="Y119" i="1" s="1"/>
  <c r="AA119" i="1" s="1"/>
  <c r="AG118" i="1"/>
  <c r="AI118" i="1" s="1"/>
  <c r="AK118" i="1" s="1"/>
  <c r="AM118" i="1" s="1"/>
  <c r="AO118" i="1" s="1"/>
  <c r="AA117" i="1"/>
  <c r="AC117" i="1" s="1"/>
  <c r="AE117" i="1" s="1"/>
  <c r="AG117" i="1" s="1"/>
  <c r="AI117" i="1" s="1"/>
  <c r="AK117" i="1" s="1"/>
  <c r="AM117" i="1" s="1"/>
  <c r="AO117" i="1" s="1"/>
  <c r="W115" i="1"/>
  <c r="Y115" i="1" s="1"/>
  <c r="W114" i="1"/>
  <c r="Y114" i="1" s="1"/>
  <c r="AA114" i="1" s="1"/>
  <c r="AC114" i="1" s="1"/>
  <c r="AE114" i="1" s="1"/>
  <c r="AG114" i="1" s="1"/>
  <c r="AI114" i="1" s="1"/>
  <c r="AK114" i="1" s="1"/>
  <c r="AM114" i="1" s="1"/>
  <c r="AO114" i="1" s="1"/>
  <c r="W112" i="1"/>
  <c r="Y112" i="1" s="1"/>
  <c r="AA112" i="1" s="1"/>
  <c r="AC112" i="1" s="1"/>
  <c r="AE112" i="1" s="1"/>
  <c r="AG112" i="1" s="1"/>
  <c r="AI112" i="1" s="1"/>
  <c r="AK112" i="1" s="1"/>
  <c r="AM112" i="1" s="1"/>
  <c r="AO112" i="1" s="1"/>
  <c r="W111" i="1"/>
  <c r="Y111" i="1" s="1"/>
  <c r="AA111" i="1" s="1"/>
  <c r="AC111" i="1" s="1"/>
  <c r="AE111" i="1" s="1"/>
  <c r="AG111" i="1" s="1"/>
  <c r="AI111" i="1" s="1"/>
  <c r="AK111" i="1" s="1"/>
  <c r="AM111" i="1" s="1"/>
  <c r="AO111" i="1" s="1"/>
  <c r="Y110" i="1"/>
  <c r="AA110" i="1" s="1"/>
  <c r="AC110" i="1" s="1"/>
  <c r="Y92" i="1"/>
  <c r="W107" i="1"/>
  <c r="W106" i="1"/>
  <c r="Y106" i="1" s="1"/>
  <c r="Y105" i="1"/>
  <c r="W103" i="1"/>
  <c r="Y103" i="1" s="1"/>
  <c r="AA103" i="1" s="1"/>
  <c r="AC103" i="1" s="1"/>
  <c r="AE103" i="1" s="1"/>
  <c r="AG103" i="1" s="1"/>
  <c r="AI103" i="1" s="1"/>
  <c r="AK103" i="1" s="1"/>
  <c r="AM103" i="1" s="1"/>
  <c r="AO103" i="1" s="1"/>
  <c r="AA87" i="1"/>
  <c r="AC87" i="1" s="1"/>
  <c r="AE87" i="1" s="1"/>
  <c r="AG87" i="1" s="1"/>
  <c r="AI87" i="1" s="1"/>
  <c r="AK87" i="1" s="1"/>
  <c r="Y86" i="1"/>
  <c r="Y85" i="1"/>
  <c r="W102" i="1"/>
  <c r="Y102" i="1" s="1"/>
  <c r="AA102" i="1" s="1"/>
  <c r="W101" i="1"/>
  <c r="Y100" i="1"/>
  <c r="AA100" i="1" s="1"/>
  <c r="AC100" i="1" s="1"/>
  <c r="AE100" i="1" s="1"/>
  <c r="W98" i="1"/>
  <c r="Y98" i="1" s="1"/>
  <c r="AA98" i="1" s="1"/>
  <c r="AC98" i="1" s="1"/>
  <c r="AE98" i="1" s="1"/>
  <c r="AG98" i="1" s="1"/>
  <c r="AI98" i="1" s="1"/>
  <c r="AK98" i="1" s="1"/>
  <c r="AM98" i="1" s="1"/>
  <c r="AO98" i="1" s="1"/>
  <c r="W97" i="1"/>
  <c r="Y97" i="1" s="1"/>
  <c r="AA97" i="1" s="1"/>
  <c r="W82" i="1"/>
  <c r="Y82" i="1" s="1"/>
  <c r="W96" i="1"/>
  <c r="Y96" i="1" s="1"/>
  <c r="AA96" i="1" s="1"/>
  <c r="AC96" i="1" s="1"/>
  <c r="AE96" i="1" s="1"/>
  <c r="AG96" i="1" s="1"/>
  <c r="AI96" i="1" s="1"/>
  <c r="AK96" i="1" s="1"/>
  <c r="AM96" i="1" s="1"/>
  <c r="AO96" i="1" s="1"/>
  <c r="W95" i="1"/>
  <c r="Y95" i="1" s="1"/>
  <c r="AA95" i="1" s="1"/>
  <c r="AC95" i="1" s="1"/>
  <c r="AA77" i="1"/>
  <c r="AC77" i="1" s="1"/>
  <c r="Y76" i="1"/>
  <c r="W74" i="1"/>
  <c r="Y72" i="1"/>
  <c r="AA72" i="1" s="1"/>
  <c r="Y71" i="1"/>
  <c r="W70" i="1"/>
  <c r="Y70" i="1" s="1"/>
  <c r="W69" i="1"/>
  <c r="W66" i="1"/>
  <c r="W64" i="1"/>
  <c r="Y64" i="1" s="1"/>
  <c r="W60" i="1"/>
  <c r="Y60" i="1" s="1"/>
  <c r="AA60" i="1" s="1"/>
  <c r="AC60" i="1" s="1"/>
  <c r="AE60" i="1" s="1"/>
  <c r="W59" i="1"/>
  <c r="W57" i="1"/>
  <c r="Y57" i="1" s="1"/>
  <c r="AA57" i="1" s="1"/>
  <c r="AC57" i="1" s="1"/>
  <c r="AE57" i="1" s="1"/>
  <c r="AG57" i="1" s="1"/>
  <c r="AI57" i="1" s="1"/>
  <c r="AK57" i="1" s="1"/>
  <c r="W53" i="1"/>
  <c r="W51" i="1"/>
  <c r="Y51" i="1" s="1"/>
  <c r="W49" i="1"/>
  <c r="Y49" i="1" s="1"/>
  <c r="AA49" i="1" s="1"/>
  <c r="W47" i="1"/>
  <c r="Y47" i="1" s="1"/>
  <c r="AA47" i="1" s="1"/>
  <c r="W46" i="1"/>
  <c r="Y46" i="1" s="1"/>
  <c r="AA46" i="1" s="1"/>
  <c r="AC46" i="1" s="1"/>
  <c r="AE46" i="1" s="1"/>
  <c r="W41" i="1"/>
  <c r="Y41" i="1" s="1"/>
  <c r="AA41" i="1" s="1"/>
  <c r="AC41" i="1" s="1"/>
  <c r="AE41" i="1" s="1"/>
  <c r="AG41" i="1" s="1"/>
  <c r="W39" i="1"/>
  <c r="Y39" i="1" s="1"/>
  <c r="AA39" i="1" s="1"/>
  <c r="AC39" i="1" s="1"/>
  <c r="AE39" i="1" s="1"/>
  <c r="AG39" i="1" s="1"/>
  <c r="AI39" i="1" s="1"/>
  <c r="W38" i="1"/>
  <c r="Y38" i="1" s="1"/>
  <c r="AA38" i="1" s="1"/>
  <c r="AC38" i="1" s="1"/>
  <c r="AE38" i="1" s="1"/>
  <c r="AG38" i="1" s="1"/>
  <c r="W37" i="1"/>
  <c r="W36" i="1"/>
  <c r="Y36" i="1" s="1"/>
  <c r="AA36" i="1" s="1"/>
  <c r="AC36" i="1" s="1"/>
  <c r="AE36" i="1" s="1"/>
  <c r="AG36" i="1" s="1"/>
  <c r="AI36" i="1" s="1"/>
  <c r="AK36" i="1" s="1"/>
  <c r="W23" i="1"/>
  <c r="Y23" i="1" s="1"/>
  <c r="W19" i="1"/>
  <c r="Y19" i="1" s="1"/>
  <c r="AA19" i="1" s="1"/>
  <c r="AC19" i="1" s="1"/>
  <c r="W63" i="1"/>
  <c r="Y63" i="1" s="1"/>
  <c r="AA63" i="1" s="1"/>
  <c r="W29" i="1"/>
  <c r="W28" i="1"/>
  <c r="Y28" i="1" s="1"/>
  <c r="O150" i="1"/>
  <c r="O138" i="1"/>
  <c r="V18" i="1"/>
  <c r="X18" i="1" s="1"/>
  <c r="Z18" i="1" s="1"/>
  <c r="AB18" i="1" s="1"/>
  <c r="V22" i="1"/>
  <c r="X22" i="1" s="1"/>
  <c r="Z22" i="1" s="1"/>
  <c r="AB22" i="1" s="1"/>
  <c r="V23" i="1"/>
  <c r="X23" i="1" s="1"/>
  <c r="Z23" i="1" s="1"/>
  <c r="AB23" i="1" s="1"/>
  <c r="O13" i="1"/>
  <c r="Q13" i="1" s="1"/>
  <c r="S13" i="1" s="1"/>
  <c r="U13" i="1" s="1"/>
  <c r="U15" i="1" s="1"/>
  <c r="Y12" i="1"/>
  <c r="AA12" i="1" s="1"/>
  <c r="AC12" i="1" s="1"/>
  <c r="AE12" i="1" s="1"/>
  <c r="AG12" i="1" s="1"/>
  <c r="AI12" i="1" s="1"/>
  <c r="AK12" i="1" s="1"/>
  <c r="W11" i="1"/>
  <c r="Y11" i="1" s="1"/>
  <c r="AA11" i="1" s="1"/>
  <c r="AC11" i="1" s="1"/>
  <c r="AE11" i="1" s="1"/>
  <c r="AG11" i="1" s="1"/>
  <c r="AI11" i="1" s="1"/>
  <c r="AK11" i="1" s="1"/>
  <c r="AM11" i="1" s="1"/>
  <c r="AO11" i="1" s="1"/>
  <c r="AA127" i="1" l="1"/>
  <c r="AC127" i="1" s="1"/>
  <c r="AE127" i="1" s="1"/>
  <c r="AG127" i="1" s="1"/>
  <c r="AI81" i="1"/>
  <c r="AK81" i="1" s="1"/>
  <c r="AM81" i="1" s="1"/>
  <c r="AO81" i="1" s="1"/>
  <c r="AC151" i="1"/>
  <c r="AA153" i="1"/>
  <c r="AG68" i="1"/>
  <c r="AI68" i="1" s="1"/>
  <c r="AK68" i="1" s="1"/>
  <c r="AM68" i="1" s="1"/>
  <c r="AO68" i="1" s="1"/>
  <c r="AA99" i="1"/>
  <c r="AC99" i="1" s="1"/>
  <c r="AE99" i="1" s="1"/>
  <c r="AG99" i="1" s="1"/>
  <c r="AB151" i="1"/>
  <c r="Z153" i="1"/>
  <c r="T150" i="1"/>
  <c r="V142" i="1"/>
  <c r="AK121" i="1"/>
  <c r="AM121" i="1" s="1"/>
  <c r="AO121" i="1" s="1"/>
  <c r="W84" i="1"/>
  <c r="Y84" i="1" s="1"/>
  <c r="AA84" i="1" s="1"/>
  <c r="AA83" i="1"/>
  <c r="AC83" i="1" s="1"/>
  <c r="AL135" i="1"/>
  <c r="AN135" i="1" s="1"/>
  <c r="AA135" i="1"/>
  <c r="AC135" i="1" s="1"/>
  <c r="AE135" i="1" s="1"/>
  <c r="AG135" i="1" s="1"/>
  <c r="AI135" i="1" s="1"/>
  <c r="AO73" i="1"/>
  <c r="AM87" i="1"/>
  <c r="AO87" i="1" s="1"/>
  <c r="U9" i="1"/>
  <c r="S10" i="1"/>
  <c r="S93" i="1"/>
  <c r="T7" i="1"/>
  <c r="O35" i="1"/>
  <c r="T24" i="1"/>
  <c r="AD154" i="1"/>
  <c r="AB157" i="1"/>
  <c r="AE154" i="1"/>
  <c r="AC157" i="1"/>
  <c r="W6" i="1"/>
  <c r="U7" i="1"/>
  <c r="U54" i="1"/>
  <c r="U109" i="1"/>
  <c r="W109" i="1" s="1"/>
  <c r="S130" i="1"/>
  <c r="AG128" i="1"/>
  <c r="AI128" i="1" s="1"/>
  <c r="AK128" i="1" s="1"/>
  <c r="AM128" i="1" s="1"/>
  <c r="AO128" i="1" s="1"/>
  <c r="U80" i="1"/>
  <c r="U93" i="1" s="1"/>
  <c r="S108" i="1"/>
  <c r="W45" i="1"/>
  <c r="AG100" i="1"/>
  <c r="AI100" i="1" s="1"/>
  <c r="AK100" i="1" s="1"/>
  <c r="AM100" i="1" s="1"/>
  <c r="AO100" i="1" s="1"/>
  <c r="O54" i="1"/>
  <c r="T9" i="1"/>
  <c r="T10" i="1" s="1"/>
  <c r="Q79" i="1"/>
  <c r="W13" i="1"/>
  <c r="Y13" i="1" s="1"/>
  <c r="AA13" i="1" s="1"/>
  <c r="AC13" i="1" s="1"/>
  <c r="AE13" i="1" s="1"/>
  <c r="AG13" i="1" s="1"/>
  <c r="AI13" i="1" s="1"/>
  <c r="AK13" i="1" s="1"/>
  <c r="AM13" i="1" s="1"/>
  <c r="AO13" i="1" s="1"/>
  <c r="O15" i="1"/>
  <c r="U35" i="1"/>
  <c r="U79" i="1"/>
  <c r="AI65" i="1"/>
  <c r="AK65" i="1" s="1"/>
  <c r="AM65" i="1" s="1"/>
  <c r="AO65" i="1" s="1"/>
  <c r="Q15" i="1"/>
  <c r="S35" i="1"/>
  <c r="S24" i="1"/>
  <c r="O24" i="1"/>
  <c r="S15" i="1"/>
  <c r="S54" i="1"/>
  <c r="Q35" i="1"/>
  <c r="Q24" i="1"/>
  <c r="Q54" i="1"/>
  <c r="W126" i="1"/>
  <c r="AC134" i="1"/>
  <c r="AE134" i="1" s="1"/>
  <c r="AG134" i="1" s="1"/>
  <c r="AI134" i="1" s="1"/>
  <c r="AG125" i="1"/>
  <c r="AI125" i="1" s="1"/>
  <c r="AK125" i="1" s="1"/>
  <c r="AM125" i="1" s="1"/>
  <c r="AO125" i="1" s="1"/>
  <c r="AC119" i="1"/>
  <c r="AE119" i="1" s="1"/>
  <c r="AG119" i="1" s="1"/>
  <c r="AI119" i="1" s="1"/>
  <c r="AA123" i="1"/>
  <c r="AC123" i="1" s="1"/>
  <c r="AE123" i="1" s="1"/>
  <c r="AG123" i="1" s="1"/>
  <c r="AI123" i="1" s="1"/>
  <c r="U146" i="1"/>
  <c r="AI133" i="1"/>
  <c r="AK133" i="1" s="1"/>
  <c r="AM133" i="1" s="1"/>
  <c r="AO133" i="1" s="1"/>
  <c r="AA113" i="1"/>
  <c r="AC113" i="1" s="1"/>
  <c r="AE113" i="1" s="1"/>
  <c r="AG113" i="1" s="1"/>
  <c r="AA148" i="1"/>
  <c r="AC148" i="1" s="1"/>
  <c r="AE148" i="1" s="1"/>
  <c r="AG148" i="1" s="1"/>
  <c r="AI148" i="1" s="1"/>
  <c r="U17" i="1"/>
  <c r="U24" i="1" s="1"/>
  <c r="AK39" i="1"/>
  <c r="AM39" i="1" s="1"/>
  <c r="AO39" i="1" s="1"/>
  <c r="W58" i="1"/>
  <c r="Y58" i="1" s="1"/>
  <c r="AA58" i="1" s="1"/>
  <c r="AE110" i="1"/>
  <c r="AG110" i="1" s="1"/>
  <c r="AI110" i="1" s="1"/>
  <c r="AK110" i="1" s="1"/>
  <c r="AA115" i="1"/>
  <c r="AC115" i="1" s="1"/>
  <c r="AE115" i="1" s="1"/>
  <c r="AG115" i="1" s="1"/>
  <c r="AI115" i="1" s="1"/>
  <c r="AK115" i="1" s="1"/>
  <c r="AM115" i="1" s="1"/>
  <c r="AO115" i="1" s="1"/>
  <c r="AC120" i="1"/>
  <c r="AE120" i="1" s="1"/>
  <c r="AG120" i="1" s="1"/>
  <c r="AI120" i="1" s="1"/>
  <c r="AK120" i="1" s="1"/>
  <c r="AM120" i="1" s="1"/>
  <c r="AO120" i="1" s="1"/>
  <c r="AI132" i="1"/>
  <c r="Y137" i="1"/>
  <c r="AA137" i="1" s="1"/>
  <c r="AC137" i="1" s="1"/>
  <c r="AE137" i="1" s="1"/>
  <c r="AC149" i="1"/>
  <c r="AE149" i="1" s="1"/>
  <c r="AG149" i="1" s="1"/>
  <c r="AI149" i="1" s="1"/>
  <c r="S79" i="1"/>
  <c r="AA28" i="1"/>
  <c r="AC28" i="1" s="1"/>
  <c r="R24" i="1"/>
  <c r="V17" i="1"/>
  <c r="X17" i="1" s="1"/>
  <c r="AM12" i="1"/>
  <c r="AO12" i="1" s="1"/>
  <c r="AA86" i="1"/>
  <c r="AC86" i="1" s="1"/>
  <c r="Y107" i="1"/>
  <c r="AA107" i="1" s="1"/>
  <c r="AC107" i="1" s="1"/>
  <c r="AE107" i="1" s="1"/>
  <c r="AG107" i="1" s="1"/>
  <c r="Y66" i="1"/>
  <c r="AA66" i="1" s="1"/>
  <c r="AC66" i="1" s="1"/>
  <c r="AA71" i="1"/>
  <c r="AC71" i="1" s="1"/>
  <c r="AA76" i="1"/>
  <c r="AC76" i="1" s="1"/>
  <c r="AE76" i="1" s="1"/>
  <c r="Y101" i="1"/>
  <c r="AA101" i="1" s="1"/>
  <c r="AC101" i="1" s="1"/>
  <c r="AG90" i="1"/>
  <c r="AA92" i="1"/>
  <c r="AC92" i="1" s="1"/>
  <c r="AE92" i="1" s="1"/>
  <c r="AG92" i="1" s="1"/>
  <c r="AA67" i="1"/>
  <c r="AE95" i="1"/>
  <c r="AG95" i="1" s="1"/>
  <c r="AI95" i="1" s="1"/>
  <c r="AC72" i="1"/>
  <c r="AE77" i="1"/>
  <c r="AG77" i="1" s="1"/>
  <c r="AC97" i="1"/>
  <c r="AC102" i="1"/>
  <c r="AA105" i="1"/>
  <c r="AC105" i="1" s="1"/>
  <c r="AA75" i="1"/>
  <c r="AA70" i="1"/>
  <c r="AC70" i="1" s="1"/>
  <c r="AE70" i="1" s="1"/>
  <c r="AG70" i="1" s="1"/>
  <c r="AI70" i="1" s="1"/>
  <c r="AK70" i="1" s="1"/>
  <c r="AM70" i="1" s="1"/>
  <c r="AO70" i="1" s="1"/>
  <c r="Y74" i="1"/>
  <c r="AA74" i="1" s="1"/>
  <c r="AC74" i="1" s="1"/>
  <c r="Y69" i="1"/>
  <c r="AA69" i="1" s="1"/>
  <c r="AC69" i="1" s="1"/>
  <c r="AI78" i="1"/>
  <c r="AA82" i="1"/>
  <c r="AC82" i="1" s="1"/>
  <c r="AA85" i="1"/>
  <c r="AC85" i="1" s="1"/>
  <c r="AC104" i="1"/>
  <c r="AE104" i="1" s="1"/>
  <c r="AG104" i="1" s="1"/>
  <c r="AA106" i="1"/>
  <c r="AC106" i="1" s="1"/>
  <c r="AE106" i="1" s="1"/>
  <c r="AG106" i="1" s="1"/>
  <c r="Y91" i="1"/>
  <c r="AA91" i="1" s="1"/>
  <c r="AC91" i="1" s="1"/>
  <c r="AE91" i="1" s="1"/>
  <c r="AG91" i="1" s="1"/>
  <c r="T15" i="1"/>
  <c r="R15" i="1"/>
  <c r="T56" i="1"/>
  <c r="T79" i="1" s="1"/>
  <c r="T80" i="1"/>
  <c r="W40" i="1"/>
  <c r="Y40" i="1" s="1"/>
  <c r="AA40" i="1" s="1"/>
  <c r="AC40" i="1" s="1"/>
  <c r="AE40" i="1" s="1"/>
  <c r="AG40" i="1" s="1"/>
  <c r="AI40" i="1" s="1"/>
  <c r="AK40" i="1" s="1"/>
  <c r="AM40" i="1" s="1"/>
  <c r="AO40" i="1" s="1"/>
  <c r="AC49" i="1"/>
  <c r="AE49" i="1" s="1"/>
  <c r="AG49" i="1" s="1"/>
  <c r="AI49" i="1" s="1"/>
  <c r="AK49" i="1" s="1"/>
  <c r="AM49" i="1" s="1"/>
  <c r="AO49" i="1" s="1"/>
  <c r="V16" i="1"/>
  <c r="AG46" i="1"/>
  <c r="AI46" i="1" s="1"/>
  <c r="AK46" i="1" s="1"/>
  <c r="AM46" i="1" s="1"/>
  <c r="AO46" i="1" s="1"/>
  <c r="Y53" i="1"/>
  <c r="AA53" i="1" s="1"/>
  <c r="AC53" i="1" s="1"/>
  <c r="Y59" i="1"/>
  <c r="AA59" i="1" s="1"/>
  <c r="AC59" i="1" s="1"/>
  <c r="AE59" i="1" s="1"/>
  <c r="AA64" i="1"/>
  <c r="AC64" i="1" s="1"/>
  <c r="AE64" i="1" s="1"/>
  <c r="AG64" i="1" s="1"/>
  <c r="AI64" i="1" s="1"/>
  <c r="AK64" i="1" s="1"/>
  <c r="AM64" i="1" s="1"/>
  <c r="AO64" i="1" s="1"/>
  <c r="Y37" i="1"/>
  <c r="AA37" i="1" s="1"/>
  <c r="AC37" i="1" s="1"/>
  <c r="AE37" i="1" s="1"/>
  <c r="AG37" i="1" s="1"/>
  <c r="W62" i="1"/>
  <c r="Y62" i="1" s="1"/>
  <c r="AA62" i="1" s="1"/>
  <c r="AC62" i="1" s="1"/>
  <c r="AC63" i="1"/>
  <c r="AE63" i="1" s="1"/>
  <c r="AG63" i="1" s="1"/>
  <c r="AI63" i="1" s="1"/>
  <c r="AC47" i="1"/>
  <c r="AE47" i="1" s="1"/>
  <c r="AG47" i="1" s="1"/>
  <c r="AI47" i="1" s="1"/>
  <c r="W32" i="1"/>
  <c r="Y32" i="1" s="1"/>
  <c r="W44" i="1"/>
  <c r="Y44" i="1" s="1"/>
  <c r="AG60" i="1"/>
  <c r="AI60" i="1" s="1"/>
  <c r="AK60" i="1" s="1"/>
  <c r="AM60" i="1" s="1"/>
  <c r="AO60" i="1" s="1"/>
  <c r="Y50" i="1"/>
  <c r="AA50" i="1" s="1"/>
  <c r="AC50" i="1" s="1"/>
  <c r="AE50" i="1" s="1"/>
  <c r="AG50" i="1" s="1"/>
  <c r="AI50" i="1" s="1"/>
  <c r="AK50" i="1" s="1"/>
  <c r="AM50" i="1" s="1"/>
  <c r="AO50" i="1" s="1"/>
  <c r="AI38" i="1"/>
  <c r="AK38" i="1" s="1"/>
  <c r="AM38" i="1" s="1"/>
  <c r="AO38" i="1" s="1"/>
  <c r="AA51" i="1"/>
  <c r="AC51" i="1" s="1"/>
  <c r="AE51" i="1" s="1"/>
  <c r="AG51" i="1" s="1"/>
  <c r="AI51" i="1" s="1"/>
  <c r="AK51" i="1" s="1"/>
  <c r="AM51" i="1" s="1"/>
  <c r="AO51" i="1" s="1"/>
  <c r="W26" i="1"/>
  <c r="Y26" i="1" s="1"/>
  <c r="AA26" i="1" s="1"/>
  <c r="AI41" i="1"/>
  <c r="AK41" i="1" s="1"/>
  <c r="AM41" i="1" s="1"/>
  <c r="AO41" i="1" s="1"/>
  <c r="AM57" i="1"/>
  <c r="AO57" i="1" s="1"/>
  <c r="W140" i="1"/>
  <c r="Y140" i="1" s="1"/>
  <c r="AA140" i="1" s="1"/>
  <c r="AC140" i="1" s="1"/>
  <c r="O79" i="1"/>
  <c r="W55" i="1"/>
  <c r="Y55" i="1" s="1"/>
  <c r="AA55" i="1" s="1"/>
  <c r="AC55" i="1" s="1"/>
  <c r="AE55" i="1" s="1"/>
  <c r="W42" i="1"/>
  <c r="Y42" i="1" s="1"/>
  <c r="AA42" i="1" s="1"/>
  <c r="AC42" i="1" s="1"/>
  <c r="AE42" i="1" s="1"/>
  <c r="Y34" i="1"/>
  <c r="AA34" i="1" s="1"/>
  <c r="AC34" i="1" s="1"/>
  <c r="AE34" i="1" s="1"/>
  <c r="AG34" i="1" s="1"/>
  <c r="AI34" i="1" s="1"/>
  <c r="AK34" i="1" s="1"/>
  <c r="AM34" i="1" s="1"/>
  <c r="AO34" i="1" s="1"/>
  <c r="W31" i="1"/>
  <c r="Y31" i="1" s="1"/>
  <c r="AA31" i="1" s="1"/>
  <c r="AC31" i="1" s="1"/>
  <c r="Y29" i="1"/>
  <c r="AA23" i="1"/>
  <c r="AC23" i="1" s="1"/>
  <c r="AE23" i="1" s="1"/>
  <c r="AG23" i="1" s="1"/>
  <c r="AI23" i="1" s="1"/>
  <c r="AK23" i="1" s="1"/>
  <c r="AM23" i="1" s="1"/>
  <c r="AO23" i="1" s="1"/>
  <c r="W22" i="1"/>
  <c r="Y22" i="1" s="1"/>
  <c r="AA22" i="1" s="1"/>
  <c r="AC22" i="1" s="1"/>
  <c r="AE22" i="1" s="1"/>
  <c r="AG22" i="1" s="1"/>
  <c r="AI22" i="1" s="1"/>
  <c r="AK22" i="1" s="1"/>
  <c r="AM22" i="1" s="1"/>
  <c r="AO22" i="1" s="1"/>
  <c r="AE19" i="1"/>
  <c r="AG19" i="1" s="1"/>
  <c r="AI19" i="1" s="1"/>
  <c r="AK19" i="1" s="1"/>
  <c r="AM19" i="1" s="1"/>
  <c r="AO19" i="1" s="1"/>
  <c r="W16" i="1"/>
  <c r="Y16" i="1" s="1"/>
  <c r="W18" i="1"/>
  <c r="Y142" i="1"/>
  <c r="AA142" i="1" s="1"/>
  <c r="AC142" i="1" s="1"/>
  <c r="AE142" i="1" s="1"/>
  <c r="AG142" i="1" s="1"/>
  <c r="AI142" i="1" s="1"/>
  <c r="W25" i="1"/>
  <c r="AI127" i="1" l="1"/>
  <c r="AK127" i="1" s="1"/>
  <c r="AM127" i="1" s="1"/>
  <c r="AO127" i="1" s="1"/>
  <c r="Y45" i="1"/>
  <c r="AA45" i="1" s="1"/>
  <c r="AC45" i="1" s="1"/>
  <c r="AE45" i="1" s="1"/>
  <c r="AG45" i="1" s="1"/>
  <c r="AI45" i="1" s="1"/>
  <c r="AK45" i="1" s="1"/>
  <c r="AM45" i="1" s="1"/>
  <c r="AO45" i="1" s="1"/>
  <c r="Y109" i="1"/>
  <c r="AE85" i="1"/>
  <c r="AG85" i="1" s="1"/>
  <c r="AI85" i="1" s="1"/>
  <c r="AK85" i="1" s="1"/>
  <c r="AE151" i="1"/>
  <c r="AC153" i="1"/>
  <c r="AD151" i="1"/>
  <c r="AB153" i="1"/>
  <c r="AI99" i="1"/>
  <c r="AK148" i="1"/>
  <c r="AM148" i="1" s="1"/>
  <c r="AO148" i="1" s="1"/>
  <c r="AC84" i="1"/>
  <c r="AE84" i="1" s="1"/>
  <c r="AG84" i="1" s="1"/>
  <c r="AI84" i="1" s="1"/>
  <c r="AK84" i="1" s="1"/>
  <c r="AI92" i="1"/>
  <c r="AK92" i="1" s="1"/>
  <c r="AM92" i="1" s="1"/>
  <c r="AO92" i="1" s="1"/>
  <c r="AK135" i="1"/>
  <c r="AM135" i="1" s="1"/>
  <c r="AO135" i="1" s="1"/>
  <c r="AK134" i="1"/>
  <c r="AM134" i="1" s="1"/>
  <c r="AO134" i="1" s="1"/>
  <c r="AE83" i="1"/>
  <c r="AG83" i="1" s="1"/>
  <c r="AI83" i="1" s="1"/>
  <c r="AK83" i="1" s="1"/>
  <c r="AM83" i="1" s="1"/>
  <c r="AK132" i="1"/>
  <c r="AM132" i="1" s="1"/>
  <c r="AO132" i="1" s="1"/>
  <c r="AI104" i="1"/>
  <c r="AK104" i="1" s="1"/>
  <c r="AM104" i="1" s="1"/>
  <c r="AO104" i="1" s="1"/>
  <c r="AI90" i="1"/>
  <c r="AK90" i="1" s="1"/>
  <c r="AM90" i="1" s="1"/>
  <c r="AO90" i="1" s="1"/>
  <c r="AK47" i="1"/>
  <c r="AM47" i="1" s="1"/>
  <c r="AO47" i="1" s="1"/>
  <c r="AK78" i="1"/>
  <c r="AM78" i="1" s="1"/>
  <c r="AO78" i="1" s="1"/>
  <c r="AE86" i="1"/>
  <c r="AG86" i="1" s="1"/>
  <c r="AM110" i="1"/>
  <c r="AO110" i="1" s="1"/>
  <c r="AE102" i="1"/>
  <c r="AG102" i="1" s="1"/>
  <c r="AI102" i="1" s="1"/>
  <c r="AK102" i="1" s="1"/>
  <c r="AM102" i="1" s="1"/>
  <c r="AO102" i="1" s="1"/>
  <c r="Q158" i="1"/>
  <c r="S158" i="1"/>
  <c r="U10" i="1"/>
  <c r="W9" i="1"/>
  <c r="O158" i="1"/>
  <c r="AK149" i="1"/>
  <c r="AM149" i="1" s="1"/>
  <c r="AO149" i="1" s="1"/>
  <c r="AG154" i="1"/>
  <c r="AG157" i="1" s="1"/>
  <c r="AE157" i="1"/>
  <c r="W7" i="1"/>
  <c r="Y6" i="1"/>
  <c r="AF154" i="1"/>
  <c r="AD157" i="1"/>
  <c r="U130" i="1"/>
  <c r="Z109" i="1"/>
  <c r="U108" i="1"/>
  <c r="W80" i="1"/>
  <c r="W93" i="1" s="1"/>
  <c r="AI107" i="1"/>
  <c r="AK107" i="1" s="1"/>
  <c r="AM107" i="1" s="1"/>
  <c r="W17" i="1"/>
  <c r="W24" i="1" s="1"/>
  <c r="AI113" i="1"/>
  <c r="AK113" i="1" s="1"/>
  <c r="AM113" i="1" s="1"/>
  <c r="AO113" i="1" s="1"/>
  <c r="AK123" i="1"/>
  <c r="AM123" i="1" s="1"/>
  <c r="AO123" i="1" s="1"/>
  <c r="AK119" i="1"/>
  <c r="AM119" i="1" s="1"/>
  <c r="AO119" i="1" s="1"/>
  <c r="AG137" i="1"/>
  <c r="AI137" i="1" s="1"/>
  <c r="AG42" i="1"/>
  <c r="AI42" i="1" s="1"/>
  <c r="AK42" i="1" s="1"/>
  <c r="AM42" i="1" s="1"/>
  <c r="AO42" i="1" s="1"/>
  <c r="Y126" i="1"/>
  <c r="AA126" i="1" s="1"/>
  <c r="AC126" i="1" s="1"/>
  <c r="AK142" i="1"/>
  <c r="AC75" i="1"/>
  <c r="AE75" i="1" s="1"/>
  <c r="AG75" i="1" s="1"/>
  <c r="AI75" i="1" s="1"/>
  <c r="AK75" i="1" s="1"/>
  <c r="AM75" i="1" s="1"/>
  <c r="AO75" i="1" s="1"/>
  <c r="AE140" i="1"/>
  <c r="AG140" i="1" s="1"/>
  <c r="AI140" i="1" s="1"/>
  <c r="AK140" i="1" s="1"/>
  <c r="U150" i="1"/>
  <c r="W146" i="1"/>
  <c r="Y146" i="1" s="1"/>
  <c r="AA146" i="1" s="1"/>
  <c r="AG55" i="1"/>
  <c r="AC67" i="1"/>
  <c r="AE67" i="1" s="1"/>
  <c r="AE72" i="1"/>
  <c r="AG72" i="1" s="1"/>
  <c r="AI72" i="1" s="1"/>
  <c r="AK72" i="1" s="1"/>
  <c r="AM72" i="1" s="1"/>
  <c r="AO72" i="1" s="1"/>
  <c r="AE66" i="1"/>
  <c r="AG66" i="1" s="1"/>
  <c r="AI66" i="1" s="1"/>
  <c r="AK66" i="1" s="1"/>
  <c r="AM66" i="1" s="1"/>
  <c r="AO66" i="1" s="1"/>
  <c r="AA32" i="1"/>
  <c r="AC32" i="1" s="1"/>
  <c r="AE32" i="1" s="1"/>
  <c r="AE28" i="1"/>
  <c r="Z17" i="1"/>
  <c r="AB17" i="1" s="1"/>
  <c r="AE71" i="1"/>
  <c r="AG71" i="1" s="1"/>
  <c r="AI71" i="1" s="1"/>
  <c r="AK71" i="1" s="1"/>
  <c r="AM71" i="1" s="1"/>
  <c r="AO71" i="1" s="1"/>
  <c r="AE74" i="1"/>
  <c r="AG74" i="1" s="1"/>
  <c r="AI74" i="1" s="1"/>
  <c r="AK74" i="1" s="1"/>
  <c r="AM74" i="1" s="1"/>
  <c r="AK95" i="1"/>
  <c r="AM95" i="1" s="1"/>
  <c r="AO95" i="1" s="1"/>
  <c r="AE101" i="1"/>
  <c r="AG101" i="1" s="1"/>
  <c r="AI101" i="1" s="1"/>
  <c r="AE69" i="1"/>
  <c r="AG69" i="1" s="1"/>
  <c r="AI69" i="1" s="1"/>
  <c r="AE82" i="1"/>
  <c r="AG82" i="1" s="1"/>
  <c r="AE97" i="1"/>
  <c r="AE105" i="1"/>
  <c r="AG105" i="1" s="1"/>
  <c r="AI105" i="1" s="1"/>
  <c r="AK105" i="1" s="1"/>
  <c r="AM105" i="1" s="1"/>
  <c r="AO105" i="1" s="1"/>
  <c r="AI91" i="1"/>
  <c r="AK91" i="1" s="1"/>
  <c r="AM91" i="1" s="1"/>
  <c r="AO91" i="1" s="1"/>
  <c r="AI106" i="1"/>
  <c r="AK106" i="1" s="1"/>
  <c r="AM106" i="1" s="1"/>
  <c r="AO106" i="1" s="1"/>
  <c r="AI77" i="1"/>
  <c r="AK77" i="1" s="1"/>
  <c r="AM77" i="1" s="1"/>
  <c r="AO77" i="1" s="1"/>
  <c r="AG76" i="1"/>
  <c r="AI76" i="1" s="1"/>
  <c r="AK76" i="1" s="1"/>
  <c r="AM76" i="1" s="1"/>
  <c r="AO76" i="1" s="1"/>
  <c r="AG59" i="1"/>
  <c r="AI59" i="1" s="1"/>
  <c r="AK59" i="1" s="1"/>
  <c r="AM59" i="1" s="1"/>
  <c r="AO59" i="1" s="1"/>
  <c r="AA44" i="1"/>
  <c r="AC44" i="1" s="1"/>
  <c r="Y54" i="1"/>
  <c r="AK63" i="1"/>
  <c r="AI37" i="1"/>
  <c r="AK37" i="1" s="1"/>
  <c r="AM37" i="1" s="1"/>
  <c r="AO37" i="1" s="1"/>
  <c r="W56" i="1"/>
  <c r="W79" i="1" s="1"/>
  <c r="AE53" i="1"/>
  <c r="AG53" i="1" s="1"/>
  <c r="AI53" i="1" s="1"/>
  <c r="AK53" i="1" s="1"/>
  <c r="AM53" i="1" s="1"/>
  <c r="AO53" i="1" s="1"/>
  <c r="AC26" i="1"/>
  <c r="AE26" i="1" s="1"/>
  <c r="AG26" i="1" s="1"/>
  <c r="Y30" i="1"/>
  <c r="AA30" i="1" s="1"/>
  <c r="AC30" i="1" s="1"/>
  <c r="AE30" i="1" s="1"/>
  <c r="AC58" i="1"/>
  <c r="AE58" i="1" s="1"/>
  <c r="AG58" i="1" s="1"/>
  <c r="AI58" i="1" s="1"/>
  <c r="AK58" i="1" s="1"/>
  <c r="X16" i="1"/>
  <c r="V24" i="1"/>
  <c r="W54" i="1"/>
  <c r="Y18" i="1"/>
  <c r="AA18" i="1" s="1"/>
  <c r="AC18" i="1" s="1"/>
  <c r="AE18" i="1" s="1"/>
  <c r="AG18" i="1" s="1"/>
  <c r="AI18" i="1" s="1"/>
  <c r="AK18" i="1" s="1"/>
  <c r="AM18" i="1" s="1"/>
  <c r="AO18" i="1" s="1"/>
  <c r="AE62" i="1"/>
  <c r="AE31" i="1"/>
  <c r="AG31" i="1" s="1"/>
  <c r="AI31" i="1" s="1"/>
  <c r="AA29" i="1"/>
  <c r="Y25" i="1"/>
  <c r="W35" i="1"/>
  <c r="W138" i="1"/>
  <c r="AA16" i="1"/>
  <c r="Y14" i="1"/>
  <c r="AA14" i="1" s="1"/>
  <c r="W15" i="1"/>
  <c r="AA139" i="1"/>
  <c r="X142" i="1"/>
  <c r="Z142" i="1" s="1"/>
  <c r="AB142" i="1" s="1"/>
  <c r="AD142" i="1" s="1"/>
  <c r="AF142" i="1" s="1"/>
  <c r="AH142" i="1" s="1"/>
  <c r="AG97" i="1" l="1"/>
  <c r="AI97" i="1" s="1"/>
  <c r="AK97" i="1" s="1"/>
  <c r="AM97" i="1" s="1"/>
  <c r="AO97" i="1" s="1"/>
  <c r="AG151" i="1"/>
  <c r="AG153" i="1" s="1"/>
  <c r="AE153" i="1"/>
  <c r="AO107" i="1"/>
  <c r="AO83" i="1"/>
  <c r="AK31" i="1"/>
  <c r="AM63" i="1"/>
  <c r="AO63" i="1" s="1"/>
  <c r="AF151" i="1"/>
  <c r="AD153" i="1"/>
  <c r="AK99" i="1"/>
  <c r="AM99" i="1" s="1"/>
  <c r="AO99" i="1" s="1"/>
  <c r="AM84" i="1"/>
  <c r="AO84" i="1" s="1"/>
  <c r="AM142" i="1"/>
  <c r="AO142" i="1" s="1"/>
  <c r="AI86" i="1"/>
  <c r="AK86" i="1" s="1"/>
  <c r="AM86" i="1" s="1"/>
  <c r="AO86" i="1" s="1"/>
  <c r="AM85" i="1"/>
  <c r="AO85" i="1" s="1"/>
  <c r="AE126" i="1"/>
  <c r="AG126" i="1" s="1"/>
  <c r="AI126" i="1" s="1"/>
  <c r="AK126" i="1" s="1"/>
  <c r="AM126" i="1" s="1"/>
  <c r="AO126" i="1" s="1"/>
  <c r="AM58" i="1"/>
  <c r="AO58" i="1" s="1"/>
  <c r="AM140" i="1"/>
  <c r="AO140" i="1" s="1"/>
  <c r="AK69" i="1"/>
  <c r="AM69" i="1" s="1"/>
  <c r="AO69" i="1" s="1"/>
  <c r="U158" i="1"/>
  <c r="Y9" i="1"/>
  <c r="W10" i="1"/>
  <c r="AA6" i="1"/>
  <c r="Y7" i="1"/>
  <c r="AH154" i="1"/>
  <c r="AF157" i="1"/>
  <c r="AB109" i="1"/>
  <c r="W130" i="1"/>
  <c r="W108" i="1"/>
  <c r="Y80" i="1"/>
  <c r="Y93" i="1" s="1"/>
  <c r="Y17" i="1"/>
  <c r="Y24" i="1" s="1"/>
  <c r="W150" i="1"/>
  <c r="Y150" i="1"/>
  <c r="AK137" i="1"/>
  <c r="AM137" i="1" s="1"/>
  <c r="AO137" i="1" s="1"/>
  <c r="AC146" i="1"/>
  <c r="AE146" i="1" s="1"/>
  <c r="AG146" i="1" s="1"/>
  <c r="AI146" i="1" s="1"/>
  <c r="AK146" i="1" s="1"/>
  <c r="AM146" i="1" s="1"/>
  <c r="AO146" i="1" s="1"/>
  <c r="AG28" i="1"/>
  <c r="AI28" i="1" s="1"/>
  <c r="AK28" i="1" s="1"/>
  <c r="AG67" i="1"/>
  <c r="AI67" i="1" s="1"/>
  <c r="AG62" i="1"/>
  <c r="AI62" i="1" s="1"/>
  <c r="AK62" i="1" s="1"/>
  <c r="AM62" i="1" s="1"/>
  <c r="AO62" i="1" s="1"/>
  <c r="AG32" i="1"/>
  <c r="AI32" i="1" s="1"/>
  <c r="AK32" i="1" s="1"/>
  <c r="AM32" i="1" s="1"/>
  <c r="AO32" i="1" s="1"/>
  <c r="AG30" i="1"/>
  <c r="AI30" i="1" s="1"/>
  <c r="AK30" i="1" s="1"/>
  <c r="AC29" i="1"/>
  <c r="AE29" i="1" s="1"/>
  <c r="AG29" i="1" s="1"/>
  <c r="AI29" i="1" s="1"/>
  <c r="AK29" i="1" s="1"/>
  <c r="AK101" i="1"/>
  <c r="AM101" i="1" s="1"/>
  <c r="AO101" i="1" s="1"/>
  <c r="AI82" i="1"/>
  <c r="AA54" i="1"/>
  <c r="Z16" i="1"/>
  <c r="X24" i="1"/>
  <c r="AI26" i="1"/>
  <c r="AK26" i="1" s="1"/>
  <c r="Y56" i="1"/>
  <c r="AE44" i="1"/>
  <c r="AG44" i="1" s="1"/>
  <c r="AI44" i="1" s="1"/>
  <c r="AK44" i="1" s="1"/>
  <c r="AM44" i="1" s="1"/>
  <c r="AO44" i="1" s="1"/>
  <c r="AA150" i="1"/>
  <c r="AC139" i="1"/>
  <c r="Y138" i="1"/>
  <c r="AC16" i="1"/>
  <c r="AC54" i="1"/>
  <c r="Y15" i="1"/>
  <c r="Y35" i="1"/>
  <c r="AA25" i="1"/>
  <c r="AJ142" i="1"/>
  <c r="AM31" i="1" l="1"/>
  <c r="AO31" i="1" s="1"/>
  <c r="AH151" i="1"/>
  <c r="AJ151" i="1" s="1"/>
  <c r="AF153" i="1"/>
  <c r="AM28" i="1"/>
  <c r="AO28" i="1" s="1"/>
  <c r="AM30" i="1"/>
  <c r="AO30" i="1" s="1"/>
  <c r="AL142" i="1"/>
  <c r="AN142" i="1" s="1"/>
  <c r="AM29" i="1"/>
  <c r="AO29" i="1" s="1"/>
  <c r="AO74" i="1"/>
  <c r="W158" i="1"/>
  <c r="AA9" i="1"/>
  <c r="Y10" i="1"/>
  <c r="AJ154" i="1"/>
  <c r="AH157" i="1"/>
  <c r="AC6" i="1"/>
  <c r="AA7" i="1"/>
  <c r="AA17" i="1"/>
  <c r="AC17" i="1" s="1"/>
  <c r="AE17" i="1" s="1"/>
  <c r="AG17" i="1" s="1"/>
  <c r="AI17" i="1" s="1"/>
  <c r="AK17" i="1" s="1"/>
  <c r="AA109" i="1"/>
  <c r="Y130" i="1"/>
  <c r="AD109" i="1"/>
  <c r="AF109" i="1" s="1"/>
  <c r="AK82" i="1"/>
  <c r="AM82" i="1" s="1"/>
  <c r="AO82" i="1" s="1"/>
  <c r="AA80" i="1"/>
  <c r="AA93" i="1" s="1"/>
  <c r="Y108" i="1"/>
  <c r="AK67" i="1"/>
  <c r="AM26" i="1"/>
  <c r="AO26" i="1" s="1"/>
  <c r="AA56" i="1"/>
  <c r="Y79" i="1"/>
  <c r="AB16" i="1"/>
  <c r="AB24" i="1" s="1"/>
  <c r="Z24" i="1"/>
  <c r="AA35" i="1"/>
  <c r="AC25" i="1"/>
  <c r="AC150" i="1"/>
  <c r="AE139" i="1"/>
  <c r="AE16" i="1"/>
  <c r="AC131" i="1"/>
  <c r="AE131" i="1" s="1"/>
  <c r="AG131" i="1" s="1"/>
  <c r="AI131" i="1" s="1"/>
  <c r="AK131" i="1" s="1"/>
  <c r="AA138" i="1"/>
  <c r="AC14" i="1"/>
  <c r="AA15" i="1"/>
  <c r="AE54" i="1"/>
  <c r="AH153" i="1" l="1"/>
  <c r="AM67" i="1"/>
  <c r="AO67" i="1" s="1"/>
  <c r="AM131" i="1"/>
  <c r="AM17" i="1"/>
  <c r="AO17" i="1" s="1"/>
  <c r="Y158" i="1"/>
  <c r="AC9" i="1"/>
  <c r="AA10" i="1"/>
  <c r="AC24" i="1"/>
  <c r="AA24" i="1"/>
  <c r="AE6" i="1"/>
  <c r="AC7" i="1"/>
  <c r="AL154" i="1"/>
  <c r="AJ157" i="1"/>
  <c r="AA130" i="1"/>
  <c r="AC109" i="1"/>
  <c r="AC80" i="1"/>
  <c r="AC93" i="1" s="1"/>
  <c r="AA108" i="1"/>
  <c r="AC56" i="1"/>
  <c r="AA79" i="1"/>
  <c r="AE14" i="1"/>
  <c r="AG14" i="1" s="1"/>
  <c r="AI14" i="1" s="1"/>
  <c r="AC15" i="1"/>
  <c r="AG16" i="1"/>
  <c r="AE24" i="1"/>
  <c r="AG139" i="1"/>
  <c r="AE150" i="1"/>
  <c r="AG54" i="1"/>
  <c r="AE25" i="1"/>
  <c r="AG25" i="1" s="1"/>
  <c r="AC35" i="1"/>
  <c r="AC138" i="1"/>
  <c r="E57" i="1"/>
  <c r="V57" i="1"/>
  <c r="G143" i="1"/>
  <c r="AO131" i="1" l="1"/>
  <c r="AO138" i="1" s="1"/>
  <c r="AJ153" i="1"/>
  <c r="AL151" i="1"/>
  <c r="AA158" i="1"/>
  <c r="G57" i="1"/>
  <c r="AE9" i="1"/>
  <c r="AC10" i="1"/>
  <c r="AN154" i="1"/>
  <c r="AN157" i="1" s="1"/>
  <c r="AL157" i="1"/>
  <c r="AG6" i="1"/>
  <c r="AE7" i="1"/>
  <c r="AC130" i="1"/>
  <c r="AE109" i="1"/>
  <c r="AG109" i="1" s="1"/>
  <c r="AH109" i="1"/>
  <c r="AJ109" i="1" s="1"/>
  <c r="AC108" i="1"/>
  <c r="AE80" i="1"/>
  <c r="AE93" i="1" s="1"/>
  <c r="AE56" i="1"/>
  <c r="AG56" i="1" s="1"/>
  <c r="AC79" i="1"/>
  <c r="AE138" i="1"/>
  <c r="AI54" i="1"/>
  <c r="AE35" i="1"/>
  <c r="AI139" i="1"/>
  <c r="AG150" i="1"/>
  <c r="AE15" i="1"/>
  <c r="AI55" i="1"/>
  <c r="AK55" i="1" s="1"/>
  <c r="AG24" i="1"/>
  <c r="AI16" i="1"/>
  <c r="X57" i="1"/>
  <c r="E154" i="1"/>
  <c r="E157" i="1" s="1"/>
  <c r="AJ137" i="1"/>
  <c r="AL137" i="1" s="1"/>
  <c r="AN137" i="1" s="1"/>
  <c r="AL153" i="1" l="1"/>
  <c r="AN151" i="1"/>
  <c r="AN153" i="1" s="1"/>
  <c r="AC158" i="1"/>
  <c r="AG9" i="1"/>
  <c r="AE10" i="1"/>
  <c r="AI6" i="1"/>
  <c r="AG7" i="1"/>
  <c r="AE130" i="1"/>
  <c r="AG80" i="1"/>
  <c r="AG93" i="1" s="1"/>
  <c r="AE108" i="1"/>
  <c r="AE79" i="1"/>
  <c r="AK54" i="1"/>
  <c r="AM36" i="1"/>
  <c r="AO36" i="1" s="1"/>
  <c r="AO54" i="1" s="1"/>
  <c r="AG15" i="1"/>
  <c r="AG138" i="1"/>
  <c r="AK139" i="1"/>
  <c r="AI150" i="1"/>
  <c r="AI154" i="1"/>
  <c r="AK16" i="1"/>
  <c r="AI24" i="1"/>
  <c r="AI25" i="1"/>
  <c r="AG35" i="1"/>
  <c r="Z57" i="1"/>
  <c r="AB57" i="1" s="1"/>
  <c r="AD57" i="1" s="1"/>
  <c r="AF57" i="1" s="1"/>
  <c r="AH57" i="1" s="1"/>
  <c r="AJ57" i="1" s="1"/>
  <c r="AL57" i="1" s="1"/>
  <c r="AN57" i="1" s="1"/>
  <c r="AM139" i="1" l="1"/>
  <c r="AO139" i="1" s="1"/>
  <c r="AE158" i="1"/>
  <c r="AI9" i="1"/>
  <c r="AG10" i="1"/>
  <c r="AK154" i="1"/>
  <c r="AK157" i="1" s="1"/>
  <c r="AI157" i="1"/>
  <c r="AK6" i="1"/>
  <c r="AI7" i="1"/>
  <c r="AG130" i="1"/>
  <c r="AI109" i="1"/>
  <c r="AK109" i="1" s="1"/>
  <c r="AM109" i="1" s="1"/>
  <c r="AI80" i="1"/>
  <c r="AI93" i="1" s="1"/>
  <c r="AG108" i="1"/>
  <c r="AI56" i="1"/>
  <c r="AK56" i="1" s="1"/>
  <c r="AG79" i="1"/>
  <c r="AM54" i="1"/>
  <c r="AK25" i="1"/>
  <c r="AI35" i="1"/>
  <c r="AK150" i="1"/>
  <c r="AM55" i="1"/>
  <c r="AO55" i="1" s="1"/>
  <c r="AM16" i="1"/>
  <c r="AK24" i="1"/>
  <c r="AI138" i="1"/>
  <c r="AI15" i="1"/>
  <c r="AK14" i="1"/>
  <c r="AI151" i="1"/>
  <c r="AI153" i="1" l="1"/>
  <c r="AK151" i="1"/>
  <c r="AO150" i="1"/>
  <c r="AG158" i="1"/>
  <c r="AK9" i="1"/>
  <c r="AI10" i="1"/>
  <c r="AM6" i="1"/>
  <c r="AK7" i="1"/>
  <c r="AI130" i="1"/>
  <c r="AK80" i="1"/>
  <c r="AK93" i="1" s="1"/>
  <c r="AI108" i="1"/>
  <c r="AM24" i="1"/>
  <c r="AO16" i="1"/>
  <c r="AI79" i="1"/>
  <c r="AK138" i="1"/>
  <c r="AM150" i="1"/>
  <c r="AM14" i="1"/>
  <c r="AO14" i="1" s="1"/>
  <c r="AK15" i="1"/>
  <c r="AM154" i="1"/>
  <c r="AK35" i="1"/>
  <c r="AM25" i="1"/>
  <c r="AO25" i="1" s="1"/>
  <c r="AO35" i="1" s="1"/>
  <c r="AO24" i="1" l="1"/>
  <c r="AK153" i="1"/>
  <c r="AM151" i="1"/>
  <c r="AM153" i="1" s="1"/>
  <c r="AI158" i="1"/>
  <c r="AM9" i="1"/>
  <c r="AK10" i="1"/>
  <c r="AO154" i="1"/>
  <c r="AM157" i="1"/>
  <c r="AM7" i="1"/>
  <c r="AO6" i="1"/>
  <c r="AO7" i="1" s="1"/>
  <c r="AK130" i="1"/>
  <c r="AM80" i="1"/>
  <c r="AM93" i="1" s="1"/>
  <c r="AK108" i="1"/>
  <c r="AM56" i="1"/>
  <c r="AO56" i="1" s="1"/>
  <c r="AO79" i="1" s="1"/>
  <c r="AK79" i="1"/>
  <c r="AM138" i="1"/>
  <c r="AM35" i="1"/>
  <c r="AM15" i="1"/>
  <c r="AO15" i="1" l="1"/>
  <c r="AO151" i="1"/>
  <c r="AO153" i="1" s="1"/>
  <c r="AK158" i="1"/>
  <c r="AO9" i="1"/>
  <c r="AM10" i="1"/>
  <c r="AO157" i="1"/>
  <c r="AO109" i="1"/>
  <c r="AO130" i="1" s="1"/>
  <c r="AM130" i="1"/>
  <c r="AM108" i="1"/>
  <c r="AO80" i="1"/>
  <c r="AO93" i="1" s="1"/>
  <c r="AM79" i="1"/>
  <c r="V128" i="1"/>
  <c r="X128" i="1" s="1"/>
  <c r="Z128" i="1" s="1"/>
  <c r="AB128" i="1" s="1"/>
  <c r="AD128" i="1" s="1"/>
  <c r="G111" i="1"/>
  <c r="AO10" i="1" l="1"/>
  <c r="AM158" i="1"/>
  <c r="AF128" i="1"/>
  <c r="AH128" i="1" s="1"/>
  <c r="AJ128" i="1" s="1"/>
  <c r="AL128" i="1" s="1"/>
  <c r="AO108" i="1"/>
  <c r="AO158" i="1" l="1"/>
  <c r="AN128" i="1"/>
  <c r="V111" i="1"/>
  <c r="X111" i="1" l="1"/>
  <c r="AJ126" i="1"/>
  <c r="Z111" i="1" l="1"/>
  <c r="AB111" i="1" l="1"/>
  <c r="AD111" i="1" l="1"/>
  <c r="AF111" i="1" l="1"/>
  <c r="V133" i="1"/>
  <c r="X133" i="1" s="1"/>
  <c r="Z133" i="1" s="1"/>
  <c r="AB133" i="1" s="1"/>
  <c r="AD133" i="1" s="1"/>
  <c r="AF133" i="1" s="1"/>
  <c r="AH133" i="1" s="1"/>
  <c r="E133" i="1"/>
  <c r="AH111" i="1" l="1"/>
  <c r="AJ111" i="1" l="1"/>
  <c r="AL111" i="1" l="1"/>
  <c r="AN111" i="1" s="1"/>
  <c r="AL126" i="1"/>
  <c r="AN126" i="1" s="1"/>
  <c r="AL109" i="1" l="1"/>
  <c r="AN109" i="1" l="1"/>
  <c r="V77" i="1"/>
  <c r="X77" i="1" s="1"/>
  <c r="Z77" i="1" s="1"/>
  <c r="AL78" i="1"/>
  <c r="AN78" i="1" l="1"/>
  <c r="AB77" i="1"/>
  <c r="AD77" i="1" s="1"/>
  <c r="AF77" i="1" s="1"/>
  <c r="AH77" i="1" s="1"/>
  <c r="AJ77" i="1" s="1"/>
  <c r="AL77" i="1" s="1"/>
  <c r="AN77" i="1" l="1"/>
  <c r="V140" i="1"/>
  <c r="X140" i="1" l="1"/>
  <c r="V131" i="1"/>
  <c r="X131" i="1" l="1"/>
  <c r="V138" i="1"/>
  <c r="Z140" i="1"/>
  <c r="E75" i="1"/>
  <c r="AB140" i="1" l="1"/>
  <c r="Z131" i="1"/>
  <c r="X138" i="1"/>
  <c r="V75" i="1"/>
  <c r="X75" i="1" s="1"/>
  <c r="Z75" i="1" s="1"/>
  <c r="AB75" i="1" s="1"/>
  <c r="AD75" i="1" l="1"/>
  <c r="AF75" i="1" s="1"/>
  <c r="AH75" i="1" s="1"/>
  <c r="AB131" i="1"/>
  <c r="Z138" i="1"/>
  <c r="AD140" i="1"/>
  <c r="V119" i="1"/>
  <c r="X119" i="1" s="1"/>
  <c r="Z119" i="1" s="1"/>
  <c r="AB119" i="1" s="1"/>
  <c r="AD119" i="1" s="1"/>
  <c r="AF119" i="1" s="1"/>
  <c r="AH119" i="1" s="1"/>
  <c r="AJ119" i="1" s="1"/>
  <c r="AL119" i="1" s="1"/>
  <c r="AN119" i="1" s="1"/>
  <c r="E119" i="1"/>
  <c r="AJ75" i="1" l="1"/>
  <c r="AL75" i="1" s="1"/>
  <c r="AN75" i="1" s="1"/>
  <c r="AD131" i="1"/>
  <c r="AB138" i="1"/>
  <c r="AF140" i="1"/>
  <c r="V74" i="1"/>
  <c r="X74" i="1" s="1"/>
  <c r="Z74" i="1" s="1"/>
  <c r="AB74" i="1" s="1"/>
  <c r="AD74" i="1" s="1"/>
  <c r="AF74" i="1" s="1"/>
  <c r="AH74" i="1" s="1"/>
  <c r="AJ74" i="1" s="1"/>
  <c r="AL74" i="1" s="1"/>
  <c r="AH140" i="1" l="1"/>
  <c r="AF131" i="1"/>
  <c r="AD138" i="1"/>
  <c r="AN74" i="1" l="1"/>
  <c r="AH131" i="1"/>
  <c r="AJ131" i="1" s="1"/>
  <c r="AL131" i="1" s="1"/>
  <c r="AN131" i="1" s="1"/>
  <c r="AF138" i="1"/>
  <c r="AJ140" i="1"/>
  <c r="V69" i="1"/>
  <c r="X69" i="1" s="1"/>
  <c r="Z69" i="1" s="1"/>
  <c r="AB69" i="1" s="1"/>
  <c r="AD69" i="1" s="1"/>
  <c r="AF69" i="1" s="1"/>
  <c r="AH69" i="1" s="1"/>
  <c r="AL140" i="1" l="1"/>
  <c r="AN140" i="1" s="1"/>
  <c r="AJ69" i="1"/>
  <c r="AL69" i="1" s="1"/>
  <c r="AN69" i="1" s="1"/>
  <c r="AH138" i="1"/>
  <c r="E146" i="1"/>
  <c r="G154" i="1" l="1"/>
  <c r="G157" i="1" s="1"/>
  <c r="G152" i="1"/>
  <c r="G151" i="1"/>
  <c r="G148" i="1"/>
  <c r="G146" i="1"/>
  <c r="G144" i="1"/>
  <c r="G142" i="1"/>
  <c r="G140" i="1"/>
  <c r="G139" i="1"/>
  <c r="G137" i="1"/>
  <c r="G135" i="1"/>
  <c r="G134" i="1"/>
  <c r="G131" i="1"/>
  <c r="G125" i="1"/>
  <c r="G123" i="1"/>
  <c r="G122" i="1"/>
  <c r="G121" i="1"/>
  <c r="G120" i="1"/>
  <c r="G119" i="1"/>
  <c r="G118" i="1"/>
  <c r="G117" i="1"/>
  <c r="G116" i="1"/>
  <c r="G115" i="1"/>
  <c r="G114" i="1"/>
  <c r="G112" i="1"/>
  <c r="G110" i="1"/>
  <c r="G109" i="1"/>
  <c r="G107" i="1"/>
  <c r="G105" i="1"/>
  <c r="G89" i="1"/>
  <c r="G88" i="1"/>
  <c r="G103" i="1"/>
  <c r="G87" i="1"/>
  <c r="G102" i="1"/>
  <c r="G100" i="1"/>
  <c r="G99" i="1"/>
  <c r="G98" i="1"/>
  <c r="G83" i="1"/>
  <c r="G81" i="1"/>
  <c r="G96" i="1"/>
  <c r="G80" i="1"/>
  <c r="G78" i="1"/>
  <c r="G77" i="1"/>
  <c r="G76" i="1"/>
  <c r="G75" i="1"/>
  <c r="G74" i="1"/>
  <c r="G73" i="1"/>
  <c r="G71" i="1"/>
  <c r="G70" i="1"/>
  <c r="G69" i="1"/>
  <c r="G68" i="1"/>
  <c r="G67" i="1"/>
  <c r="G65" i="1"/>
  <c r="G64" i="1"/>
  <c r="G61" i="1"/>
  <c r="G60" i="1"/>
  <c r="G59" i="1"/>
  <c r="G58" i="1"/>
  <c r="G53" i="1"/>
  <c r="G51" i="1"/>
  <c r="G50" i="1"/>
  <c r="G49" i="1"/>
  <c r="G47" i="1"/>
  <c r="G46" i="1"/>
  <c r="G45" i="1"/>
  <c r="G42" i="1"/>
  <c r="G41" i="1"/>
  <c r="G39" i="1"/>
  <c r="G38" i="1"/>
  <c r="G37" i="1"/>
  <c r="G34" i="1"/>
  <c r="G32" i="1"/>
  <c r="G31" i="1"/>
  <c r="G28" i="1"/>
  <c r="G25" i="1"/>
  <c r="G23" i="1"/>
  <c r="G22" i="1"/>
  <c r="G19" i="1"/>
  <c r="G18" i="1"/>
  <c r="G16" i="1"/>
  <c r="G14" i="1"/>
  <c r="G13" i="1"/>
  <c r="G12" i="1"/>
  <c r="G11" i="1"/>
  <c r="G9" i="1"/>
  <c r="G10" i="1" s="1"/>
  <c r="G6" i="1"/>
  <c r="G7" i="1" s="1"/>
  <c r="G153" i="1" l="1"/>
  <c r="G84" i="1"/>
  <c r="G66" i="1"/>
  <c r="V122" i="1"/>
  <c r="X122" i="1" s="1"/>
  <c r="Z122" i="1" s="1"/>
  <c r="AB122" i="1" s="1"/>
  <c r="AD122" i="1" s="1"/>
  <c r="AF122" i="1" s="1"/>
  <c r="AH122" i="1" s="1"/>
  <c r="AJ122" i="1" s="1"/>
  <c r="AL122" i="1" s="1"/>
  <c r="V101" i="1"/>
  <c r="X101" i="1" s="1"/>
  <c r="Z101" i="1" s="1"/>
  <c r="AB101" i="1" s="1"/>
  <c r="AD101" i="1" s="1"/>
  <c r="AF101" i="1" s="1"/>
  <c r="AH101" i="1" s="1"/>
  <c r="AJ101" i="1" s="1"/>
  <c r="AL101" i="1" s="1"/>
  <c r="AN101" i="1" s="1"/>
  <c r="E101" i="1"/>
  <c r="G36" i="1"/>
  <c r="AN122" i="1" l="1"/>
  <c r="G101" i="1"/>
  <c r="G113" i="1" l="1"/>
  <c r="G17" i="1"/>
  <c r="V102" i="1" l="1"/>
  <c r="X102" i="1" s="1"/>
  <c r="Z102" i="1" s="1"/>
  <c r="AB102" i="1" s="1"/>
  <c r="AD102" i="1" s="1"/>
  <c r="AF102" i="1" s="1"/>
  <c r="AH102" i="1" s="1"/>
  <c r="AJ102" i="1" s="1"/>
  <c r="AL102" i="1" s="1"/>
  <c r="AN102" i="1" s="1"/>
  <c r="G72" i="1" l="1"/>
  <c r="AJ85" i="1"/>
  <c r="G55" i="1"/>
  <c r="AL85" i="1" l="1"/>
  <c r="E93" i="1"/>
  <c r="G85" i="1"/>
  <c r="AN85" i="1" l="1"/>
  <c r="AS14" i="1"/>
  <c r="G93" i="1"/>
  <c r="G106" i="1" l="1"/>
  <c r="G92" i="1"/>
  <c r="V95" i="1" l="1"/>
  <c r="X95" i="1" s="1"/>
  <c r="Z95" i="1" s="1"/>
  <c r="AB95" i="1" s="1"/>
  <c r="AD95" i="1" s="1"/>
  <c r="AF95" i="1" s="1"/>
  <c r="AH95" i="1" s="1"/>
  <c r="AJ95" i="1" s="1"/>
  <c r="AL95" i="1" s="1"/>
  <c r="AN95" i="1" s="1"/>
  <c r="G95" i="1" l="1"/>
  <c r="G82" i="1"/>
  <c r="V82" i="1"/>
  <c r="X82" i="1" s="1"/>
  <c r="Z82" i="1" s="1"/>
  <c r="AB82" i="1" s="1"/>
  <c r="AD82" i="1" s="1"/>
  <c r="AF82" i="1" s="1"/>
  <c r="AH82" i="1" s="1"/>
  <c r="AJ82" i="1" s="1"/>
  <c r="G86" i="1"/>
  <c r="AL82" i="1" l="1"/>
  <c r="AN82" i="1" s="1"/>
  <c r="V81" i="1" l="1"/>
  <c r="X81" i="1" s="1"/>
  <c r="V68" i="1"/>
  <c r="X68" i="1" s="1"/>
  <c r="Z68" i="1" s="1"/>
  <c r="AB68" i="1" l="1"/>
  <c r="AD68" i="1" s="1"/>
  <c r="AF68" i="1" s="1"/>
  <c r="AH68" i="1" s="1"/>
  <c r="AJ68" i="1" s="1"/>
  <c r="Z81" i="1"/>
  <c r="AB81" i="1" s="1"/>
  <c r="V73" i="1"/>
  <c r="X73" i="1" s="1"/>
  <c r="Z73" i="1" s="1"/>
  <c r="AB73" i="1" s="1"/>
  <c r="AD73" i="1" s="1"/>
  <c r="AL68" i="1" l="1"/>
  <c r="AN68" i="1" s="1"/>
  <c r="AD81" i="1"/>
  <c r="AF81" i="1" s="1"/>
  <c r="E40" i="1"/>
  <c r="AH81" i="1" l="1"/>
  <c r="AJ81" i="1" s="1"/>
  <c r="AL81" i="1" s="1"/>
  <c r="AN81" i="1" s="1"/>
  <c r="AF73" i="1"/>
  <c r="AH73" i="1" s="1"/>
  <c r="AJ73" i="1" s="1"/>
  <c r="AL73" i="1" s="1"/>
  <c r="G40" i="1"/>
  <c r="AN73" i="1" l="1"/>
  <c r="G63" i="1"/>
  <c r="G30" i="1" l="1"/>
  <c r="V38" i="1" l="1"/>
  <c r="X38" i="1" s="1"/>
  <c r="Z38" i="1" s="1"/>
  <c r="AB38" i="1" s="1"/>
  <c r="AD38" i="1" s="1"/>
  <c r="AF38" i="1" s="1"/>
  <c r="AH38" i="1" s="1"/>
  <c r="AJ38" i="1" s="1"/>
  <c r="AL38" i="1" s="1"/>
  <c r="AN38" i="1" s="1"/>
  <c r="V113" i="1" l="1"/>
  <c r="X113" i="1" l="1"/>
  <c r="G29" i="1"/>
  <c r="V53" i="1"/>
  <c r="X53" i="1" s="1"/>
  <c r="Z53" i="1" s="1"/>
  <c r="AB53" i="1" s="1"/>
  <c r="AD53" i="1" s="1"/>
  <c r="AF53" i="1" s="1"/>
  <c r="AH53" i="1" s="1"/>
  <c r="AJ53" i="1" s="1"/>
  <c r="AL53" i="1" s="1"/>
  <c r="AN53" i="1" s="1"/>
  <c r="V51" i="1"/>
  <c r="X51" i="1" s="1"/>
  <c r="Z51" i="1" s="1"/>
  <c r="AB51" i="1" s="1"/>
  <c r="AD51" i="1" s="1"/>
  <c r="AF51" i="1" s="1"/>
  <c r="AH51" i="1" s="1"/>
  <c r="AJ51" i="1" s="1"/>
  <c r="AL51" i="1" s="1"/>
  <c r="AN51" i="1" s="1"/>
  <c r="V50" i="1"/>
  <c r="X50" i="1" s="1"/>
  <c r="Z50" i="1" s="1"/>
  <c r="AB50" i="1" s="1"/>
  <c r="AD50" i="1" s="1"/>
  <c r="AF50" i="1" s="1"/>
  <c r="AH50" i="1" s="1"/>
  <c r="AJ50" i="1" s="1"/>
  <c r="AL50" i="1" s="1"/>
  <c r="AN50" i="1" s="1"/>
  <c r="V49" i="1"/>
  <c r="X49" i="1" s="1"/>
  <c r="V47" i="1"/>
  <c r="X47" i="1" s="1"/>
  <c r="Z47" i="1" s="1"/>
  <c r="AB47" i="1" s="1"/>
  <c r="AD47" i="1" s="1"/>
  <c r="AF47" i="1" s="1"/>
  <c r="AH47" i="1" s="1"/>
  <c r="V46" i="1"/>
  <c r="X46" i="1" s="1"/>
  <c r="Z46" i="1" s="1"/>
  <c r="AB46" i="1" s="1"/>
  <c r="AD46" i="1" s="1"/>
  <c r="AF46" i="1" s="1"/>
  <c r="AH46" i="1" s="1"/>
  <c r="V45" i="1"/>
  <c r="X45" i="1" s="1"/>
  <c r="Z45" i="1" s="1"/>
  <c r="AB45" i="1" s="1"/>
  <c r="AD45" i="1" s="1"/>
  <c r="AF45" i="1" s="1"/>
  <c r="AH45" i="1" s="1"/>
  <c r="AJ45" i="1" s="1"/>
  <c r="V41" i="1"/>
  <c r="X41" i="1" s="1"/>
  <c r="Z41" i="1" s="1"/>
  <c r="AB41" i="1" s="1"/>
  <c r="AD41" i="1" s="1"/>
  <c r="AF41" i="1" s="1"/>
  <c r="AH41" i="1" s="1"/>
  <c r="AJ41" i="1" s="1"/>
  <c r="AL41" i="1" s="1"/>
  <c r="AN41" i="1" s="1"/>
  <c r="AJ124" i="1"/>
  <c r="AL124" i="1" s="1"/>
  <c r="AN124" i="1" s="1"/>
  <c r="AJ145" i="1"/>
  <c r="AL145" i="1" s="1"/>
  <c r="AN145" i="1" s="1"/>
  <c r="AJ133" i="1"/>
  <c r="AL132" i="1"/>
  <c r="AN132" i="1" s="1"/>
  <c r="AL123" i="1"/>
  <c r="AN123" i="1" s="1"/>
  <c r="AL121" i="1"/>
  <c r="AN121" i="1" s="1"/>
  <c r="AJ105" i="1"/>
  <c r="AL105" i="1" s="1"/>
  <c r="AN105" i="1" s="1"/>
  <c r="AJ90" i="1"/>
  <c r="AL90" i="1" s="1"/>
  <c r="AL104" i="1"/>
  <c r="AN104" i="1" s="1"/>
  <c r="AJ97" i="1"/>
  <c r="AL97" i="1" s="1"/>
  <c r="AN97" i="1" s="1"/>
  <c r="AJ71" i="1"/>
  <c r="AL71" i="1" s="1"/>
  <c r="AN71" i="1" s="1"/>
  <c r="AJ70" i="1"/>
  <c r="AL70" i="1" s="1"/>
  <c r="AN70" i="1" s="1"/>
  <c r="AJ58" i="1"/>
  <c r="E124" i="1"/>
  <c r="AN90" i="1" l="1"/>
  <c r="AL45" i="1"/>
  <c r="AN45" i="1" s="1"/>
  <c r="AJ47" i="1"/>
  <c r="AL47" i="1" s="1"/>
  <c r="AL58" i="1"/>
  <c r="AN58" i="1" s="1"/>
  <c r="E130" i="1"/>
  <c r="AL110" i="1"/>
  <c r="AN110" i="1" s="1"/>
  <c r="AL133" i="1"/>
  <c r="AN133" i="1" s="1"/>
  <c r="AJ138" i="1"/>
  <c r="Z113" i="1"/>
  <c r="G124" i="1"/>
  <c r="Z49" i="1"/>
  <c r="AB49" i="1" s="1"/>
  <c r="AD49" i="1" s="1"/>
  <c r="AF49" i="1" s="1"/>
  <c r="AH49" i="1" s="1"/>
  <c r="AJ49" i="1" s="1"/>
  <c r="AL49" i="1" s="1"/>
  <c r="AN49" i="1" s="1"/>
  <c r="AJ46" i="1"/>
  <c r="AL46" i="1" s="1"/>
  <c r="AN46" i="1" s="1"/>
  <c r="AN138" i="1" l="1"/>
  <c r="AN47" i="1"/>
  <c r="G130" i="1"/>
  <c r="AB113" i="1"/>
  <c r="AL138" i="1"/>
  <c r="G26" i="1"/>
  <c r="V42" i="1"/>
  <c r="X42" i="1" s="1"/>
  <c r="Z42" i="1" s="1"/>
  <c r="AB42" i="1" s="1"/>
  <c r="AD42" i="1" s="1"/>
  <c r="AF42" i="1" l="1"/>
  <c r="AH42" i="1" s="1"/>
  <c r="AJ42" i="1" s="1"/>
  <c r="AL42" i="1" s="1"/>
  <c r="AN42" i="1" s="1"/>
  <c r="AD113" i="1"/>
  <c r="L35" i="1"/>
  <c r="J35" i="1"/>
  <c r="H35" i="1"/>
  <c r="C35" i="1"/>
  <c r="M35" i="1" l="1"/>
  <c r="I35" i="1"/>
  <c r="K35" i="1"/>
  <c r="AF113" i="1"/>
  <c r="V25" i="1"/>
  <c r="AH113" i="1" l="1"/>
  <c r="X25" i="1"/>
  <c r="AJ113" i="1" l="1"/>
  <c r="Z25" i="1"/>
  <c r="AL113" i="1" l="1"/>
  <c r="AB25" i="1"/>
  <c r="AN113" i="1" l="1"/>
  <c r="AD25" i="1"/>
  <c r="AF25" i="1" s="1"/>
  <c r="AH25" i="1" s="1"/>
  <c r="AJ25" i="1" s="1"/>
  <c r="AL25" i="1" s="1"/>
  <c r="AN25" i="1" s="1"/>
  <c r="V66" i="1" l="1"/>
  <c r="X66" i="1" s="1"/>
  <c r="Z66" i="1" s="1"/>
  <c r="AB66" i="1" s="1"/>
  <c r="V63" i="1"/>
  <c r="X63" i="1" s="1"/>
  <c r="Z63" i="1" s="1"/>
  <c r="AB63" i="1" s="1"/>
  <c r="AD63" i="1" s="1"/>
  <c r="AF63" i="1" s="1"/>
  <c r="AH63" i="1" s="1"/>
  <c r="V64" i="1"/>
  <c r="X64" i="1" s="1"/>
  <c r="Z64" i="1" s="1"/>
  <c r="AB64" i="1" s="1"/>
  <c r="AD64" i="1" s="1"/>
  <c r="AF64" i="1" s="1"/>
  <c r="AH64" i="1" s="1"/>
  <c r="AJ64" i="1" s="1"/>
  <c r="AL64" i="1" s="1"/>
  <c r="AN64" i="1" s="1"/>
  <c r="V56" i="1"/>
  <c r="X56" i="1" s="1"/>
  <c r="Z56" i="1" s="1"/>
  <c r="AB56" i="1" s="1"/>
  <c r="AD56" i="1" s="1"/>
  <c r="AF56" i="1" s="1"/>
  <c r="AH56" i="1" s="1"/>
  <c r="V40" i="1"/>
  <c r="X40" i="1" s="1"/>
  <c r="Z40" i="1" s="1"/>
  <c r="AB40" i="1" s="1"/>
  <c r="AD40" i="1" s="1"/>
  <c r="V39" i="1"/>
  <c r="X39" i="1" s="1"/>
  <c r="Z39" i="1" s="1"/>
  <c r="AB39" i="1" s="1"/>
  <c r="AD39" i="1" s="1"/>
  <c r="AF39" i="1" s="1"/>
  <c r="AH39" i="1" s="1"/>
  <c r="AJ39" i="1" s="1"/>
  <c r="AL39" i="1" s="1"/>
  <c r="AN39" i="1" s="1"/>
  <c r="V37" i="1"/>
  <c r="X37" i="1" s="1"/>
  <c r="Z37" i="1" s="1"/>
  <c r="AB37" i="1" s="1"/>
  <c r="AD37" i="1" s="1"/>
  <c r="AF37" i="1" s="1"/>
  <c r="AH37" i="1" s="1"/>
  <c r="AJ37" i="1" s="1"/>
  <c r="V9" i="1"/>
  <c r="AJ56" i="1" l="1"/>
  <c r="AL56" i="1" s="1"/>
  <c r="AN56" i="1" s="1"/>
  <c r="X9" i="1"/>
  <c r="V10" i="1"/>
  <c r="AL37" i="1"/>
  <c r="AN37" i="1" s="1"/>
  <c r="AD66" i="1"/>
  <c r="AF66" i="1" s="1"/>
  <c r="AH66" i="1" s="1"/>
  <c r="AJ66" i="1" s="1"/>
  <c r="AL66" i="1" s="1"/>
  <c r="AN66" i="1" s="1"/>
  <c r="V65" i="1"/>
  <c r="X65" i="1" s="1"/>
  <c r="AJ63" i="1"/>
  <c r="AF40" i="1"/>
  <c r="AH40" i="1" s="1"/>
  <c r="AJ40" i="1" s="1"/>
  <c r="AL40" i="1" s="1"/>
  <c r="AN40" i="1" s="1"/>
  <c r="AL63" i="1" l="1"/>
  <c r="AN63" i="1" s="1"/>
  <c r="Z9" i="1"/>
  <c r="X10" i="1"/>
  <c r="Z65" i="1"/>
  <c r="AB65" i="1" s="1"/>
  <c r="V11" i="1"/>
  <c r="V87" i="1"/>
  <c r="X87" i="1" s="1"/>
  <c r="Z87" i="1" s="1"/>
  <c r="AB87" i="1" s="1"/>
  <c r="AD87" i="1" s="1"/>
  <c r="AF87" i="1" s="1"/>
  <c r="AH87" i="1" l="1"/>
  <c r="AJ87" i="1" s="1"/>
  <c r="AL87" i="1" s="1"/>
  <c r="AN87" i="1" s="1"/>
  <c r="AB9" i="1"/>
  <c r="Z10" i="1"/>
  <c r="AD65" i="1"/>
  <c r="AF65" i="1" s="1"/>
  <c r="AH65" i="1" s="1"/>
  <c r="AJ65" i="1" s="1"/>
  <c r="AL65" i="1" s="1"/>
  <c r="AN65" i="1" s="1"/>
  <c r="X11" i="1"/>
  <c r="V55" i="1"/>
  <c r="V89" i="1"/>
  <c r="X89" i="1" s="1"/>
  <c r="V91" i="1"/>
  <c r="X91" i="1" s="1"/>
  <c r="Z91" i="1" s="1"/>
  <c r="AB91" i="1" s="1"/>
  <c r="AD91" i="1" s="1"/>
  <c r="AF91" i="1" s="1"/>
  <c r="AH91" i="1" s="1"/>
  <c r="AJ91" i="1" s="1"/>
  <c r="AL91" i="1" s="1"/>
  <c r="AN91" i="1" l="1"/>
  <c r="AD9" i="1"/>
  <c r="AB10" i="1"/>
  <c r="X55" i="1"/>
  <c r="Z11" i="1"/>
  <c r="Z89" i="1"/>
  <c r="AB89" i="1" s="1"/>
  <c r="AD89" i="1" s="1"/>
  <c r="AF89" i="1" s="1"/>
  <c r="AH89" i="1" s="1"/>
  <c r="G91" i="1"/>
  <c r="AF9" i="1" l="1"/>
  <c r="AD10" i="1"/>
  <c r="AJ89" i="1"/>
  <c r="AL89" i="1" s="1"/>
  <c r="AN89" i="1" s="1"/>
  <c r="AB11" i="1"/>
  <c r="Z55" i="1"/>
  <c r="AH9" i="1" l="1"/>
  <c r="AF10" i="1"/>
  <c r="AB55" i="1"/>
  <c r="AD55" i="1" s="1"/>
  <c r="AD11" i="1"/>
  <c r="G62" i="1"/>
  <c r="V44" i="1"/>
  <c r="X44" i="1" s="1"/>
  <c r="Z44" i="1" s="1"/>
  <c r="AB44" i="1" s="1"/>
  <c r="AD44" i="1" s="1"/>
  <c r="AF44" i="1" s="1"/>
  <c r="AH44" i="1" s="1"/>
  <c r="AJ44" i="1" s="1"/>
  <c r="AL44" i="1" s="1"/>
  <c r="AN44" i="1" l="1"/>
  <c r="AJ9" i="1"/>
  <c r="AH10" i="1"/>
  <c r="V62" i="1"/>
  <c r="G44" i="1"/>
  <c r="AL9" i="1" l="1"/>
  <c r="AJ10" i="1"/>
  <c r="AF55" i="1"/>
  <c r="X62" i="1"/>
  <c r="Z62" i="1" s="1"/>
  <c r="AD23" i="1"/>
  <c r="AF23" i="1" s="1"/>
  <c r="AH23" i="1" s="1"/>
  <c r="AJ23" i="1" s="1"/>
  <c r="AL23" i="1" s="1"/>
  <c r="AN23" i="1" s="1"/>
  <c r="AD22" i="1"/>
  <c r="AF22" i="1" s="1"/>
  <c r="AH22" i="1" s="1"/>
  <c r="AJ22" i="1" s="1"/>
  <c r="AL22" i="1" s="1"/>
  <c r="AN22" i="1" s="1"/>
  <c r="AD19" i="1"/>
  <c r="AF19" i="1" s="1"/>
  <c r="AH19" i="1" s="1"/>
  <c r="AJ19" i="1" s="1"/>
  <c r="AL19" i="1" s="1"/>
  <c r="AN19" i="1" s="1"/>
  <c r="AD18" i="1"/>
  <c r="AF18" i="1" s="1"/>
  <c r="AH18" i="1" s="1"/>
  <c r="AJ18" i="1" s="1"/>
  <c r="AL18" i="1" s="1"/>
  <c r="AN18" i="1" s="1"/>
  <c r="AD17" i="1"/>
  <c r="AF17" i="1" s="1"/>
  <c r="AH17" i="1" s="1"/>
  <c r="AD16" i="1"/>
  <c r="V13" i="1"/>
  <c r="X13" i="1" s="1"/>
  <c r="Z13" i="1" s="1"/>
  <c r="AB13" i="1" s="1"/>
  <c r="AD13" i="1" s="1"/>
  <c r="AF13" i="1" s="1"/>
  <c r="AH13" i="1" s="1"/>
  <c r="AJ13" i="1" s="1"/>
  <c r="AL13" i="1" s="1"/>
  <c r="AN13" i="1" s="1"/>
  <c r="AF11" i="1"/>
  <c r="AN9" i="1" l="1"/>
  <c r="AL10" i="1"/>
  <c r="AH11" i="1"/>
  <c r="AF16" i="1"/>
  <c r="AD24" i="1"/>
  <c r="X6" i="1"/>
  <c r="AH55" i="1"/>
  <c r="AJ55" i="1" s="1"/>
  <c r="AJ17" i="1"/>
  <c r="AN10" i="1" l="1"/>
  <c r="AL17" i="1"/>
  <c r="AN17" i="1" s="1"/>
  <c r="Z6" i="1"/>
  <c r="X7" i="1"/>
  <c r="AB62" i="1"/>
  <c r="AH16" i="1"/>
  <c r="AF24" i="1"/>
  <c r="AJ11" i="1"/>
  <c r="E35" i="1"/>
  <c r="AB6" i="1" l="1"/>
  <c r="Z7" i="1"/>
  <c r="AD62" i="1"/>
  <c r="AF62" i="1" s="1"/>
  <c r="AJ16" i="1"/>
  <c r="AH24" i="1"/>
  <c r="AL11" i="1"/>
  <c r="AN11" i="1" s="1"/>
  <c r="AL55" i="1"/>
  <c r="AN55" i="1" s="1"/>
  <c r="G35" i="1"/>
  <c r="V106" i="1"/>
  <c r="X106" i="1" s="1"/>
  <c r="Z106" i="1" s="1"/>
  <c r="AB106" i="1" s="1"/>
  <c r="AD106" i="1" s="1"/>
  <c r="AF106" i="1" s="1"/>
  <c r="AH106" i="1" s="1"/>
  <c r="AJ106" i="1" s="1"/>
  <c r="AL106" i="1" s="1"/>
  <c r="AN106" i="1" s="1"/>
  <c r="AD6" i="1" l="1"/>
  <c r="AB7" i="1"/>
  <c r="AL16" i="1"/>
  <c r="AN16" i="1" s="1"/>
  <c r="AJ24" i="1"/>
  <c r="V149" i="1"/>
  <c r="X149" i="1" s="1"/>
  <c r="Z149" i="1" s="1"/>
  <c r="AB149" i="1" s="1"/>
  <c r="AD149" i="1" s="1"/>
  <c r="V148" i="1"/>
  <c r="X148" i="1" s="1"/>
  <c r="Z148" i="1" s="1"/>
  <c r="AB148" i="1" s="1"/>
  <c r="AD148" i="1" s="1"/>
  <c r="AF148" i="1" s="1"/>
  <c r="AH148" i="1" s="1"/>
  <c r="AJ148" i="1" l="1"/>
  <c r="AL148" i="1" s="1"/>
  <c r="AN148" i="1" s="1"/>
  <c r="AF6" i="1"/>
  <c r="AD7" i="1"/>
  <c r="AL24" i="1"/>
  <c r="AH62" i="1"/>
  <c r="X72" i="1"/>
  <c r="Z72" i="1" s="1"/>
  <c r="V79" i="1"/>
  <c r="AF149" i="1"/>
  <c r="AH149" i="1" s="1"/>
  <c r="AJ149" i="1" s="1"/>
  <c r="G149" i="1"/>
  <c r="AN24" i="1" l="1"/>
  <c r="AH6" i="1"/>
  <c r="AF7" i="1"/>
  <c r="X79" i="1"/>
  <c r="AJ62" i="1"/>
  <c r="V146" i="1"/>
  <c r="AL62" i="1" l="1"/>
  <c r="AJ6" i="1"/>
  <c r="AH7" i="1"/>
  <c r="X146" i="1"/>
  <c r="V150" i="1"/>
  <c r="AB72" i="1"/>
  <c r="AD72" i="1" s="1"/>
  <c r="Z79" i="1"/>
  <c r="AL149" i="1"/>
  <c r="AN149" i="1" s="1"/>
  <c r="V26" i="1"/>
  <c r="AN62" i="1" l="1"/>
  <c r="AJ7" i="1"/>
  <c r="AL6" i="1"/>
  <c r="Z146" i="1"/>
  <c r="X150" i="1"/>
  <c r="AF72" i="1"/>
  <c r="AH72" i="1" s="1"/>
  <c r="AJ72" i="1" s="1"/>
  <c r="AL72" i="1" s="1"/>
  <c r="AN72" i="1" s="1"/>
  <c r="AB79" i="1"/>
  <c r="V80" i="1"/>
  <c r="X26" i="1"/>
  <c r="X80" i="1" l="1"/>
  <c r="AN6" i="1"/>
  <c r="AL7" i="1"/>
  <c r="AD79" i="1"/>
  <c r="AB146" i="1"/>
  <c r="Z150" i="1"/>
  <c r="G104" i="1"/>
  <c r="Z26" i="1"/>
  <c r="AN7" i="1" l="1"/>
  <c r="AD146" i="1"/>
  <c r="AB150" i="1"/>
  <c r="AF79" i="1"/>
  <c r="Z80" i="1"/>
  <c r="AB26" i="1"/>
  <c r="AH79" i="1" l="1"/>
  <c r="AB80" i="1"/>
  <c r="AF146" i="1"/>
  <c r="AD150" i="1"/>
  <c r="AD26" i="1"/>
  <c r="AD80" i="1" l="1"/>
  <c r="AH146" i="1"/>
  <c r="AF150" i="1"/>
  <c r="AJ79" i="1"/>
  <c r="G56" i="1"/>
  <c r="AF26" i="1"/>
  <c r="AN79" i="1" l="1"/>
  <c r="AJ146" i="1"/>
  <c r="AH150" i="1"/>
  <c r="AL79" i="1"/>
  <c r="AF80" i="1"/>
  <c r="G90" i="1"/>
  <c r="AH26" i="1"/>
  <c r="AJ26" i="1" s="1"/>
  <c r="AH80" i="1" l="1"/>
  <c r="AL146" i="1"/>
  <c r="AN146" i="1" s="1"/>
  <c r="AJ150" i="1"/>
  <c r="AL26" i="1"/>
  <c r="AN26" i="1" s="1"/>
  <c r="AN150" i="1" l="1"/>
  <c r="AJ80" i="1"/>
  <c r="AL150" i="1"/>
  <c r="AL80" i="1" l="1"/>
  <c r="G127" i="1"/>
  <c r="AN80" i="1" l="1"/>
  <c r="G128" i="1"/>
  <c r="G132" i="1" l="1"/>
  <c r="N150" i="1" l="1"/>
  <c r="L150" i="1"/>
  <c r="J150" i="1"/>
  <c r="H150" i="1"/>
  <c r="C150" i="1"/>
  <c r="K150" i="1" l="1"/>
  <c r="M150" i="1"/>
  <c r="I150" i="1"/>
  <c r="AR17" i="1"/>
  <c r="G133" i="1" l="1"/>
  <c r="E145" i="1"/>
  <c r="G145" i="1" l="1"/>
  <c r="E150" i="1"/>
  <c r="G150" i="1" l="1"/>
  <c r="G126" i="1"/>
  <c r="AS17" i="1"/>
  <c r="E108" i="1" l="1"/>
  <c r="G97" i="1"/>
  <c r="P100" i="1" l="1"/>
  <c r="R100" i="1" s="1"/>
  <c r="T100" i="1" s="1"/>
  <c r="V100" i="1" s="1"/>
  <c r="X100" i="1" s="1"/>
  <c r="Z100" i="1" s="1"/>
  <c r="AB100" i="1" s="1"/>
  <c r="AD100" i="1" l="1"/>
  <c r="AF100" i="1" s="1"/>
  <c r="AH100" i="1" s="1"/>
  <c r="AJ100" i="1" s="1"/>
  <c r="AL100" i="1" s="1"/>
  <c r="AN100" i="1" s="1"/>
  <c r="P84" i="1" l="1"/>
  <c r="P99" i="1"/>
  <c r="R99" i="1" s="1"/>
  <c r="T99" i="1" l="1"/>
  <c r="V99" i="1" s="1"/>
  <c r="X99" i="1" s="1"/>
  <c r="Z99" i="1" s="1"/>
  <c r="AB99" i="1" s="1"/>
  <c r="AD99" i="1" s="1"/>
  <c r="AF99" i="1" s="1"/>
  <c r="R84" i="1"/>
  <c r="T84" i="1" s="1"/>
  <c r="AH99" i="1" l="1"/>
  <c r="AJ99" i="1" s="1"/>
  <c r="AL99" i="1" s="1"/>
  <c r="AN99" i="1" s="1"/>
  <c r="V84" i="1"/>
  <c r="X84" i="1" s="1"/>
  <c r="Z84" i="1" s="1"/>
  <c r="AB84" i="1" s="1"/>
  <c r="X14" i="1"/>
  <c r="P127" i="1" l="1"/>
  <c r="R127" i="1" s="1"/>
  <c r="N130" i="1"/>
  <c r="Z14" i="1"/>
  <c r="AB14" i="1" s="1"/>
  <c r="V32" i="1"/>
  <c r="X32" i="1" s="1"/>
  <c r="P92" i="1"/>
  <c r="N93" i="1"/>
  <c r="P130" i="1" l="1"/>
  <c r="R130" i="1"/>
  <c r="P86" i="1"/>
  <c r="P108" i="1" s="1"/>
  <c r="N108" i="1"/>
  <c r="R92" i="1"/>
  <c r="Z32" i="1"/>
  <c r="AB32" i="1" s="1"/>
  <c r="AD14" i="1"/>
  <c r="AF14" i="1" s="1"/>
  <c r="AH14" i="1" l="1"/>
  <c r="AJ14" i="1" s="1"/>
  <c r="AL14" i="1" s="1"/>
  <c r="AN14" i="1" s="1"/>
  <c r="T127" i="1"/>
  <c r="T130" i="1" s="1"/>
  <c r="P93" i="1"/>
  <c r="R86" i="1"/>
  <c r="T86" i="1" s="1"/>
  <c r="T92" i="1"/>
  <c r="V127" i="1"/>
  <c r="AD32" i="1"/>
  <c r="AF32" i="1" s="1"/>
  <c r="AH32" i="1" s="1"/>
  <c r="AJ32" i="1" s="1"/>
  <c r="AL32" i="1" s="1"/>
  <c r="AD84" i="1"/>
  <c r="V31" i="1"/>
  <c r="X31" i="1" s="1"/>
  <c r="Z31" i="1" s="1"/>
  <c r="V30" i="1"/>
  <c r="X30" i="1" s="1"/>
  <c r="Z30" i="1" s="1"/>
  <c r="AB30" i="1" s="1"/>
  <c r="AD30" i="1" s="1"/>
  <c r="AF30" i="1" s="1"/>
  <c r="V29" i="1"/>
  <c r="X29" i="1" s="1"/>
  <c r="Z29" i="1" s="1"/>
  <c r="N138" i="1"/>
  <c r="N79" i="1"/>
  <c r="N24" i="1"/>
  <c r="N10" i="1"/>
  <c r="AN32" i="1" l="1"/>
  <c r="P158" i="1"/>
  <c r="V130" i="1"/>
  <c r="X127" i="1"/>
  <c r="X130" i="1" s="1"/>
  <c r="R108" i="1"/>
  <c r="R93" i="1"/>
  <c r="AB31" i="1"/>
  <c r="AD31" i="1" s="1"/>
  <c r="AF31" i="1" s="1"/>
  <c r="AH31" i="1" s="1"/>
  <c r="AB29" i="1"/>
  <c r="AD29" i="1" s="1"/>
  <c r="AF29" i="1" s="1"/>
  <c r="AH29" i="1" s="1"/>
  <c r="AJ29" i="1" s="1"/>
  <c r="AF84" i="1"/>
  <c r="AH84" i="1" s="1"/>
  <c r="V92" i="1"/>
  <c r="AH30" i="1"/>
  <c r="AJ30" i="1" s="1"/>
  <c r="N15" i="1"/>
  <c r="N35" i="1"/>
  <c r="N54" i="1"/>
  <c r="E138" i="1"/>
  <c r="H138" i="1"/>
  <c r="J138" i="1"/>
  <c r="L138" i="1"/>
  <c r="E79" i="1"/>
  <c r="H79" i="1"/>
  <c r="J79" i="1"/>
  <c r="L79" i="1"/>
  <c r="E54" i="1"/>
  <c r="H54" i="1"/>
  <c r="J54" i="1"/>
  <c r="L54" i="1"/>
  <c r="E24" i="1"/>
  <c r="H24" i="1"/>
  <c r="J24" i="1"/>
  <c r="L24" i="1"/>
  <c r="H15" i="1"/>
  <c r="J15" i="1"/>
  <c r="L15" i="1"/>
  <c r="E15" i="1"/>
  <c r="C138" i="1"/>
  <c r="C79" i="1"/>
  <c r="C54" i="1"/>
  <c r="AR11" i="1"/>
  <c r="C24" i="1"/>
  <c r="C15" i="1"/>
  <c r="I15" i="1" l="1"/>
  <c r="K15" i="1"/>
  <c r="M24" i="1"/>
  <c r="M54" i="1"/>
  <c r="M79" i="1"/>
  <c r="M138" i="1"/>
  <c r="M15" i="1"/>
  <c r="K24" i="1"/>
  <c r="K54" i="1"/>
  <c r="K79" i="1"/>
  <c r="K138" i="1"/>
  <c r="I24" i="1"/>
  <c r="I54" i="1"/>
  <c r="I79" i="1"/>
  <c r="I138" i="1"/>
  <c r="AJ31" i="1"/>
  <c r="AL30" i="1"/>
  <c r="AJ84" i="1"/>
  <c r="AL84" i="1" s="1"/>
  <c r="AN84" i="1" s="1"/>
  <c r="AL29" i="1"/>
  <c r="AN29" i="1" s="1"/>
  <c r="R158" i="1"/>
  <c r="N158" i="1"/>
  <c r="C158" i="1"/>
  <c r="L158" i="1"/>
  <c r="J158" i="1"/>
  <c r="H158" i="1"/>
  <c r="T108" i="1"/>
  <c r="T93" i="1"/>
  <c r="E158" i="1"/>
  <c r="Z127" i="1"/>
  <c r="Z130" i="1" s="1"/>
  <c r="V86" i="1"/>
  <c r="G24" i="1"/>
  <c r="AR9" i="1"/>
  <c r="G15" i="1"/>
  <c r="G138" i="1"/>
  <c r="G79" i="1"/>
  <c r="G54" i="1"/>
  <c r="G108" i="1"/>
  <c r="X92" i="1"/>
  <c r="X108" i="1" s="1"/>
  <c r="AR18" i="1"/>
  <c r="AR5" i="1"/>
  <c r="AR8" i="1"/>
  <c r="AR20" i="1"/>
  <c r="AS9" i="1"/>
  <c r="AR13" i="1"/>
  <c r="AS5" i="1"/>
  <c r="AS18" i="1"/>
  <c r="AS8" i="1"/>
  <c r="AR12" i="1"/>
  <c r="AS10" i="1"/>
  <c r="AR10" i="1"/>
  <c r="AS19" i="1"/>
  <c r="AR19" i="1"/>
  <c r="AR16" i="1"/>
  <c r="AR15" i="1"/>
  <c r="AS16" i="1"/>
  <c r="AS11" i="1"/>
  <c r="AS13" i="1"/>
  <c r="AS12" i="1"/>
  <c r="AS20" i="1"/>
  <c r="AS15" i="1"/>
  <c r="I158" i="1" l="1"/>
  <c r="K158" i="1"/>
  <c r="M158" i="1"/>
  <c r="AN31" i="1"/>
  <c r="AL31" i="1"/>
  <c r="F43" i="1"/>
  <c r="F136" i="1"/>
  <c r="F33" i="1"/>
  <c r="F129" i="1"/>
  <c r="F155" i="1"/>
  <c r="F5" i="1"/>
  <c r="F48" i="1"/>
  <c r="F141" i="1"/>
  <c r="F156" i="1"/>
  <c r="F27" i="1"/>
  <c r="D21" i="1"/>
  <c r="D33" i="1"/>
  <c r="F8" i="1"/>
  <c r="F21" i="1"/>
  <c r="D8" i="1"/>
  <c r="D155" i="1"/>
  <c r="AN30" i="1"/>
  <c r="D5" i="1"/>
  <c r="D93" i="1"/>
  <c r="F93" i="1"/>
  <c r="AR21" i="1"/>
  <c r="AS21" i="1"/>
  <c r="T158" i="1"/>
  <c r="X86" i="1"/>
  <c r="V93" i="1"/>
  <c r="AB127" i="1"/>
  <c r="AB130" i="1" s="1"/>
  <c r="V108" i="1"/>
  <c r="D156" i="1"/>
  <c r="D48" i="1"/>
  <c r="D136" i="1"/>
  <c r="D94" i="1"/>
  <c r="D141" i="1"/>
  <c r="D27" i="1"/>
  <c r="D43" i="1"/>
  <c r="F130" i="1"/>
  <c r="F20" i="1"/>
  <c r="D129" i="1"/>
  <c r="D20" i="1"/>
  <c r="F94" i="1"/>
  <c r="F52" i="1"/>
  <c r="D52" i="1"/>
  <c r="F147" i="1"/>
  <c r="D57" i="1"/>
  <c r="D147" i="1"/>
  <c r="V34" i="1"/>
  <c r="F143" i="1"/>
  <c r="F57" i="1"/>
  <c r="D111" i="1"/>
  <c r="D143" i="1"/>
  <c r="F111" i="1"/>
  <c r="D152" i="1"/>
  <c r="G158" i="1"/>
  <c r="F122" i="1"/>
  <c r="F152" i="1"/>
  <c r="Z92" i="1"/>
  <c r="Z108" i="1" s="1"/>
  <c r="D38" i="1"/>
  <c r="D122" i="1"/>
  <c r="F38" i="1"/>
  <c r="D148" i="1"/>
  <c r="D142" i="1"/>
  <c r="D135" i="1"/>
  <c r="D131" i="1"/>
  <c r="D125" i="1"/>
  <c r="D120" i="1"/>
  <c r="D116" i="1"/>
  <c r="D112" i="1"/>
  <c r="D107" i="1"/>
  <c r="D90" i="1"/>
  <c r="D103" i="1"/>
  <c r="D102" i="1"/>
  <c r="D98" i="1"/>
  <c r="D82" i="1"/>
  <c r="D80" i="1"/>
  <c r="D75" i="1"/>
  <c r="D71" i="1"/>
  <c r="D67" i="1"/>
  <c r="D63" i="1"/>
  <c r="D59" i="1"/>
  <c r="D53" i="1"/>
  <c r="D44" i="1"/>
  <c r="D39" i="1"/>
  <c r="D32" i="1"/>
  <c r="D28" i="1"/>
  <c r="D22" i="1"/>
  <c r="D16" i="1"/>
  <c r="D11" i="1"/>
  <c r="D149" i="1"/>
  <c r="D132" i="1"/>
  <c r="D117" i="1"/>
  <c r="D91" i="1"/>
  <c r="D99" i="1"/>
  <c r="D76" i="1"/>
  <c r="D64" i="1"/>
  <c r="D45" i="1"/>
  <c r="D29" i="1"/>
  <c r="D12" i="1"/>
  <c r="D154" i="1"/>
  <c r="D146" i="1"/>
  <c r="D140" i="1"/>
  <c r="D134" i="1"/>
  <c r="D128" i="1"/>
  <c r="D124" i="1"/>
  <c r="D119" i="1"/>
  <c r="D115" i="1"/>
  <c r="D110" i="1"/>
  <c r="D106" i="1"/>
  <c r="D89" i="1"/>
  <c r="D87" i="1"/>
  <c r="D101" i="1"/>
  <c r="D97" i="1"/>
  <c r="D81" i="1"/>
  <c r="D78" i="1"/>
  <c r="D74" i="1"/>
  <c r="D70" i="1"/>
  <c r="D66" i="1"/>
  <c r="D62" i="1"/>
  <c r="D58" i="1"/>
  <c r="D51" i="1"/>
  <c r="D47" i="1"/>
  <c r="D42" i="1"/>
  <c r="D37" i="1"/>
  <c r="D31" i="1"/>
  <c r="D26" i="1"/>
  <c r="D19" i="1"/>
  <c r="D14" i="1"/>
  <c r="D9" i="1"/>
  <c r="D137" i="1"/>
  <c r="D126" i="1"/>
  <c r="D113" i="1"/>
  <c r="D104" i="1"/>
  <c r="D83" i="1"/>
  <c r="D72" i="1"/>
  <c r="D60" i="1"/>
  <c r="D49" i="1"/>
  <c r="D34" i="1"/>
  <c r="D17" i="1"/>
  <c r="D151" i="1"/>
  <c r="D145" i="1"/>
  <c r="D139" i="1"/>
  <c r="D133" i="1"/>
  <c r="D127" i="1"/>
  <c r="D123" i="1"/>
  <c r="D118" i="1"/>
  <c r="D114" i="1"/>
  <c r="D109" i="1"/>
  <c r="D105" i="1"/>
  <c r="D88" i="1"/>
  <c r="D86" i="1"/>
  <c r="D100" i="1"/>
  <c r="D84" i="1"/>
  <c r="D96" i="1"/>
  <c r="D77" i="1"/>
  <c r="D73" i="1"/>
  <c r="D69" i="1"/>
  <c r="D65" i="1"/>
  <c r="D61" i="1"/>
  <c r="D56" i="1"/>
  <c r="D50" i="1"/>
  <c r="D46" i="1"/>
  <c r="D41" i="1"/>
  <c r="D36" i="1"/>
  <c r="D30" i="1"/>
  <c r="D25" i="1"/>
  <c r="D18" i="1"/>
  <c r="D13" i="1"/>
  <c r="D6" i="1"/>
  <c r="D144" i="1"/>
  <c r="D121" i="1"/>
  <c r="D92" i="1"/>
  <c r="D85" i="1"/>
  <c r="D95" i="1"/>
  <c r="D68" i="1"/>
  <c r="D55" i="1"/>
  <c r="D40" i="1"/>
  <c r="D23" i="1"/>
  <c r="F124" i="1"/>
  <c r="F154" i="1"/>
  <c r="F146" i="1"/>
  <c r="F140" i="1"/>
  <c r="F134" i="1"/>
  <c r="F128" i="1"/>
  <c r="F123" i="1"/>
  <c r="F118" i="1"/>
  <c r="F114" i="1"/>
  <c r="F109" i="1"/>
  <c r="F105" i="1"/>
  <c r="F88" i="1"/>
  <c r="F86" i="1"/>
  <c r="F100" i="1"/>
  <c r="F83" i="1"/>
  <c r="F95" i="1"/>
  <c r="F76" i="1"/>
  <c r="F72" i="1"/>
  <c r="F68" i="1"/>
  <c r="F64" i="1"/>
  <c r="F60" i="1"/>
  <c r="F55" i="1"/>
  <c r="F49" i="1"/>
  <c r="F45" i="1"/>
  <c r="F40" i="1"/>
  <c r="F34" i="1"/>
  <c r="F29" i="1"/>
  <c r="F23" i="1"/>
  <c r="F17" i="1"/>
  <c r="F12" i="1"/>
  <c r="F99" i="1"/>
  <c r="F144" i="1"/>
  <c r="F132" i="1"/>
  <c r="F120" i="1"/>
  <c r="F112" i="1"/>
  <c r="F90" i="1"/>
  <c r="F102" i="1"/>
  <c r="F81" i="1"/>
  <c r="F74" i="1"/>
  <c r="F66" i="1"/>
  <c r="F58" i="1"/>
  <c r="F47" i="1"/>
  <c r="F37" i="1"/>
  <c r="F19" i="1"/>
  <c r="F9" i="1"/>
  <c r="F142" i="1"/>
  <c r="F125" i="1"/>
  <c r="F119" i="1"/>
  <c r="F110" i="1"/>
  <c r="F89" i="1"/>
  <c r="F101" i="1"/>
  <c r="F96" i="1"/>
  <c r="F73" i="1"/>
  <c r="F65" i="1"/>
  <c r="F50" i="1"/>
  <c r="F41" i="1"/>
  <c r="F30" i="1"/>
  <c r="F18" i="1"/>
  <c r="F6" i="1"/>
  <c r="F151" i="1"/>
  <c r="F145" i="1"/>
  <c r="F139" i="1"/>
  <c r="F133" i="1"/>
  <c r="F127" i="1"/>
  <c r="F121" i="1"/>
  <c r="F117" i="1"/>
  <c r="F113" i="1"/>
  <c r="F92" i="1"/>
  <c r="F91" i="1"/>
  <c r="F104" i="1"/>
  <c r="F85" i="1"/>
  <c r="F98" i="1"/>
  <c r="F82" i="1"/>
  <c r="F80" i="1"/>
  <c r="F75" i="1"/>
  <c r="F71" i="1"/>
  <c r="F67" i="1"/>
  <c r="F63" i="1"/>
  <c r="F59" i="1"/>
  <c r="F53" i="1"/>
  <c r="F44" i="1"/>
  <c r="F39" i="1"/>
  <c r="F32" i="1"/>
  <c r="F28" i="1"/>
  <c r="F22" i="1"/>
  <c r="F16" i="1"/>
  <c r="F11" i="1"/>
  <c r="F149" i="1"/>
  <c r="F137" i="1"/>
  <c r="F126" i="1"/>
  <c r="F116" i="1"/>
  <c r="F107" i="1"/>
  <c r="F103" i="1"/>
  <c r="F97" i="1"/>
  <c r="F78" i="1"/>
  <c r="F70" i="1"/>
  <c r="F62" i="1"/>
  <c r="F51" i="1"/>
  <c r="F42" i="1"/>
  <c r="F31" i="1"/>
  <c r="F26" i="1"/>
  <c r="F14" i="1"/>
  <c r="F148" i="1"/>
  <c r="F135" i="1"/>
  <c r="F131" i="1"/>
  <c r="F115" i="1"/>
  <c r="F106" i="1"/>
  <c r="F87" i="1"/>
  <c r="F84" i="1"/>
  <c r="F77" i="1"/>
  <c r="F69" i="1"/>
  <c r="F61" i="1"/>
  <c r="F56" i="1"/>
  <c r="F46" i="1"/>
  <c r="F36" i="1"/>
  <c r="F25" i="1"/>
  <c r="F13" i="1"/>
  <c r="D24" i="1"/>
  <c r="F150" i="1"/>
  <c r="D54" i="1"/>
  <c r="F35" i="1"/>
  <c r="D35" i="1"/>
  <c r="F79" i="1"/>
  <c r="D79" i="1"/>
  <c r="D138" i="1"/>
  <c r="D108" i="1"/>
  <c r="F138" i="1"/>
  <c r="D157" i="1"/>
  <c r="F7" i="1"/>
  <c r="F24" i="1"/>
  <c r="F15" i="1"/>
  <c r="F54" i="1"/>
  <c r="F108" i="1"/>
  <c r="D130" i="1"/>
  <c r="D7" i="1"/>
  <c r="D150" i="1"/>
  <c r="D15" i="1"/>
  <c r="D10" i="1"/>
  <c r="D153" i="1"/>
  <c r="F157" i="1" l="1"/>
  <c r="F153" i="1"/>
  <c r="F10" i="1"/>
  <c r="AD127" i="1"/>
  <c r="AD130" i="1" s="1"/>
  <c r="Z86" i="1"/>
  <c r="X93" i="1"/>
  <c r="X34" i="1"/>
  <c r="AB92" i="1"/>
  <c r="AB108" i="1" s="1"/>
  <c r="V28" i="1"/>
  <c r="V35" i="1" s="1"/>
  <c r="V12" i="1"/>
  <c r="V15" i="1" s="1"/>
  <c r="V36" i="1"/>
  <c r="V54" i="1" s="1"/>
  <c r="AF127" i="1" l="1"/>
  <c r="V158" i="1"/>
  <c r="AB86" i="1"/>
  <c r="Z93" i="1"/>
  <c r="Z34" i="1"/>
  <c r="AD92" i="1"/>
  <c r="AD108" i="1" s="1"/>
  <c r="X36" i="1"/>
  <c r="X54" i="1" s="1"/>
  <c r="X12" i="1"/>
  <c r="X15" i="1" s="1"/>
  <c r="X28" i="1"/>
  <c r="AF130" i="1" l="1"/>
  <c r="AH127" i="1"/>
  <c r="AH130" i="1"/>
  <c r="AD86" i="1"/>
  <c r="AB93" i="1"/>
  <c r="X35" i="1"/>
  <c r="Z28" i="1"/>
  <c r="Z35" i="1" s="1"/>
  <c r="AB34" i="1"/>
  <c r="AF92" i="1"/>
  <c r="AF108" i="1" s="1"/>
  <c r="Z12" i="1"/>
  <c r="Z15" i="1" s="1"/>
  <c r="Z36" i="1"/>
  <c r="Z54" i="1" s="1"/>
  <c r="AJ127" i="1" l="1"/>
  <c r="AJ130" i="1" s="1"/>
  <c r="Z158" i="1"/>
  <c r="X158" i="1"/>
  <c r="AF86" i="1"/>
  <c r="AD93" i="1"/>
  <c r="AD34" i="1"/>
  <c r="AH92" i="1"/>
  <c r="AB28" i="1"/>
  <c r="AB36" i="1"/>
  <c r="AB54" i="1" s="1"/>
  <c r="AB12" i="1"/>
  <c r="AB15" i="1" s="1"/>
  <c r="AL127" i="1" l="1"/>
  <c r="AN127" i="1" s="1"/>
  <c r="AH108" i="1"/>
  <c r="AJ92" i="1"/>
  <c r="AL92" i="1" s="1"/>
  <c r="AH86" i="1"/>
  <c r="AF93" i="1"/>
  <c r="AB35" i="1"/>
  <c r="AD28" i="1"/>
  <c r="AF28" i="1" s="1"/>
  <c r="AH28" i="1" s="1"/>
  <c r="AJ28" i="1" s="1"/>
  <c r="AL28" i="1" s="1"/>
  <c r="AN28" i="1" s="1"/>
  <c r="AF34" i="1"/>
  <c r="AD36" i="1"/>
  <c r="AD54" i="1" s="1"/>
  <c r="AD12" i="1"/>
  <c r="AD15" i="1" s="1"/>
  <c r="AB158" i="1" l="1"/>
  <c r="AL130" i="1"/>
  <c r="AJ86" i="1"/>
  <c r="AH93" i="1"/>
  <c r="AN130" i="1"/>
  <c r="AJ108" i="1"/>
  <c r="AD35" i="1"/>
  <c r="AH34" i="1"/>
  <c r="AF36" i="1"/>
  <c r="AF54" i="1" s="1"/>
  <c r="AF12" i="1"/>
  <c r="AD158" i="1" l="1"/>
  <c r="AL86" i="1"/>
  <c r="AN86" i="1" s="1"/>
  <c r="AJ93" i="1"/>
  <c r="AN92" i="1"/>
  <c r="AL108" i="1"/>
  <c r="AF35" i="1"/>
  <c r="AH12" i="1"/>
  <c r="AF15" i="1"/>
  <c r="AJ34" i="1"/>
  <c r="AH35" i="1"/>
  <c r="AH36" i="1"/>
  <c r="AF158" i="1" l="1"/>
  <c r="AL93" i="1"/>
  <c r="AN108" i="1"/>
  <c r="AH54" i="1"/>
  <c r="AJ36" i="1"/>
  <c r="AJ12" i="1"/>
  <c r="AH15" i="1"/>
  <c r="AL34" i="1"/>
  <c r="AN34" i="1" s="1"/>
  <c r="AJ35" i="1"/>
  <c r="AN35" i="1" l="1"/>
  <c r="AH158" i="1"/>
  <c r="AN93" i="1"/>
  <c r="AL12" i="1"/>
  <c r="AN12" i="1" s="1"/>
  <c r="AJ15" i="1"/>
  <c r="AL36" i="1"/>
  <c r="AN36" i="1" s="1"/>
  <c r="AJ54" i="1"/>
  <c r="AL35" i="1"/>
  <c r="AN54" i="1" l="1"/>
  <c r="AJ158" i="1"/>
  <c r="AL15" i="1"/>
  <c r="AL54" i="1"/>
  <c r="AN15" i="1" l="1"/>
  <c r="AL158" i="1"/>
  <c r="AN158" i="1" l="1"/>
</calcChain>
</file>

<file path=xl/comments1.xml><?xml version="1.0" encoding="utf-8"?>
<comments xmlns="http://schemas.openxmlformats.org/spreadsheetml/2006/main">
  <authors>
    <author>Gustavo Roa</author>
    <author>tc={5C7800B4-26E2-4E6E-B671-90286A8C2362}</author>
    <author>tc={B62A6ABF-0962-46B5-A47F-B0A4489A9DCD}</author>
    <author>tc={C0B5347C-9E52-49CD-B2E9-CEE1893F8842}</author>
  </authors>
  <commentList>
    <comment ref="AF26" authorId="0" shapeId="0">
      <text>
        <r>
          <rPr>
            <b/>
            <sz val="9"/>
            <color indexed="81"/>
            <rFont val="Tahoma"/>
            <family val="2"/>
          </rPr>
          <t>Gustavo Roa:</t>
        </r>
        <r>
          <rPr>
            <sz val="9"/>
            <color indexed="81"/>
            <rFont val="Tahoma"/>
            <family val="2"/>
          </rPr>
          <t xml:space="preserve">
se retira avance frontal de 51 ha y se reemplaza por un pivote de 35 ha</t>
        </r>
      </text>
    </comment>
    <comment ref="AI65" authorId="0" shapeId="0">
      <text>
        <r>
          <rPr>
            <b/>
            <sz val="9"/>
            <color indexed="81"/>
            <rFont val="Tahoma"/>
            <family val="2"/>
          </rPr>
          <t>Gustavo Roa:</t>
        </r>
        <r>
          <rPr>
            <sz val="9"/>
            <color indexed="81"/>
            <rFont val="Tahoma"/>
            <family val="2"/>
          </rPr>
          <t xml:space="preserve">
Se suman 23 ha por pivote alargado</t>
        </r>
      </text>
    </comment>
    <comment ref="AK67" authorId="0" shapeId="0">
      <text>
        <r>
          <rPr>
            <b/>
            <sz val="9"/>
            <color indexed="81"/>
            <rFont val="Tahoma"/>
            <family val="2"/>
          </rPr>
          <t>Gustavo Roa:</t>
        </r>
        <r>
          <rPr>
            <sz val="9"/>
            <color indexed="81"/>
            <rFont val="Tahoma"/>
            <family val="2"/>
          </rPr>
          <t xml:space="preserve">
Se descuenta una postura de pivote retirada la postura 1 el 2015</t>
        </r>
      </text>
    </comment>
    <comment ref="AM69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28 ha de pivote del 2016 que se agranda</t>
        </r>
      </text>
    </comment>
    <comment ref="AM90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12+5 por alargamiento de 2 posturas</t>
        </r>
      </text>
    </comment>
    <comment ref="AF128" authorId="0" shapeId="0">
      <text>
        <r>
          <rPr>
            <b/>
            <sz val="9"/>
            <color indexed="81"/>
            <rFont val="Tahoma"/>
            <family val="2"/>
          </rPr>
          <t>Gustavo Roa:</t>
        </r>
        <r>
          <rPr>
            <sz val="9"/>
            <color indexed="81"/>
            <rFont val="Tahoma"/>
            <family val="2"/>
          </rPr>
          <t xml:space="preserve">
incluye pivote doble</t>
        </r>
      </text>
    </comment>
    <comment ref="AA134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eliminó una postura y se agregó otra de pivotes móviles</t>
        </r>
      </text>
    </comment>
  </commentList>
</comments>
</file>

<file path=xl/sharedStrings.xml><?xml version="1.0" encoding="utf-8"?>
<sst xmlns="http://schemas.openxmlformats.org/spreadsheetml/2006/main" count="207" uniqueCount="173">
  <si>
    <t>Región</t>
  </si>
  <si>
    <t>Comuna</t>
  </si>
  <si>
    <t>Camarones</t>
  </si>
  <si>
    <t>Avances frontales</t>
  </si>
  <si>
    <t>Vallenar</t>
  </si>
  <si>
    <t>Canela</t>
  </si>
  <si>
    <t>Coquimbo</t>
  </si>
  <si>
    <t>La Serena</t>
  </si>
  <si>
    <t>Ovalle</t>
  </si>
  <si>
    <t>Cartagena</t>
  </si>
  <si>
    <t>Casablanca</t>
  </si>
  <si>
    <t>Catemu</t>
  </si>
  <si>
    <t>Puchuncaví</t>
  </si>
  <si>
    <t>Santo Domingo</t>
  </si>
  <si>
    <t>Valparaíso</t>
  </si>
  <si>
    <t>Curacaví</t>
  </si>
  <si>
    <t>Lampa</t>
  </si>
  <si>
    <t>María Pinto</t>
  </si>
  <si>
    <t>Melipilla</t>
  </si>
  <si>
    <t>Pirque</t>
  </si>
  <si>
    <t>San Pedro</t>
  </si>
  <si>
    <t>Til Til</t>
  </si>
  <si>
    <t>Chépica</t>
  </si>
  <si>
    <t>Chimbarongo</t>
  </si>
  <si>
    <t>Las Cabras</t>
  </si>
  <si>
    <t>Litueche</t>
  </si>
  <si>
    <t>Marchihue</t>
  </si>
  <si>
    <t>Peralillo</t>
  </si>
  <si>
    <t>Pichidegua</t>
  </si>
  <si>
    <t>Pumanque</t>
  </si>
  <si>
    <t>Rancagua</t>
  </si>
  <si>
    <t>Rengo</t>
  </si>
  <si>
    <t>Requínoa</t>
  </si>
  <si>
    <t>San Fernando</t>
  </si>
  <si>
    <t>Cauquenes</t>
  </si>
  <si>
    <t>Colbún</t>
  </si>
  <si>
    <t>Curepto</t>
  </si>
  <si>
    <t>Curicó</t>
  </si>
  <si>
    <t>Licantén</t>
  </si>
  <si>
    <t>Linares</t>
  </si>
  <si>
    <t>Longaví</t>
  </si>
  <si>
    <t>Maule</t>
  </si>
  <si>
    <t>Molina</t>
  </si>
  <si>
    <t>Parral</t>
  </si>
  <si>
    <t>Pelarco</t>
  </si>
  <si>
    <t>Pencahue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</si>
  <si>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</si>
  <si>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</si>
  <si>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</si>
  <si>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</si>
  <si>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</si>
  <si>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</si>
  <si>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</si>
  <si>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</si>
  <si>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</si>
  <si>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Villa Alegre</t>
  </si>
  <si>
    <t>Yerbas Buenas</t>
  </si>
  <si>
    <t>Bulnes</t>
  </si>
  <si>
    <t>Cabrero</t>
  </si>
  <si>
    <t>Cañete</t>
  </si>
  <si>
    <t>Chillán</t>
  </si>
  <si>
    <t>Chillán Viejo</t>
  </si>
  <si>
    <t>Coihueco</t>
  </si>
  <si>
    <t>El Carmen</t>
  </si>
  <si>
    <t>Laja</t>
  </si>
  <si>
    <t>Lebu</t>
  </si>
  <si>
    <t>Los Angeles</t>
  </si>
  <si>
    <t>Mulchén</t>
  </si>
  <si>
    <t>Nacimiento</t>
  </si>
  <si>
    <t>Negrete</t>
  </si>
  <si>
    <t>Ñiquén</t>
  </si>
  <si>
    <t>Pemuco</t>
  </si>
  <si>
    <t>Pinto</t>
  </si>
  <si>
    <t>Quilaco</t>
  </si>
  <si>
    <t>Quilleco</t>
  </si>
  <si>
    <t>Quillón</t>
  </si>
  <si>
    <t>San Carlos</t>
  </si>
  <si>
    <t>San Ignacio</t>
  </si>
  <si>
    <t>San Nicolás</t>
  </si>
  <si>
    <t>Santa Bárbara</t>
  </si>
  <si>
    <t>Tucapel</t>
  </si>
  <si>
    <t>Yumbel</t>
  </si>
  <si>
    <t>Yungay</t>
  </si>
  <si>
    <t>Angol</t>
  </si>
  <si>
    <t>Collipulli</t>
  </si>
  <si>
    <t>Cholchol</t>
  </si>
  <si>
    <t>Freire</t>
  </si>
  <si>
    <t>Galvarino</t>
  </si>
  <si>
    <t>Gorbea</t>
  </si>
  <si>
    <t>Loncoche</t>
  </si>
  <si>
    <t>Los Sauces</t>
  </si>
  <si>
    <t>Nueva Imperial</t>
  </si>
  <si>
    <t>Padre Las Casas</t>
  </si>
  <si>
    <t>Perquenco</t>
  </si>
  <si>
    <t>Renaico</t>
  </si>
  <si>
    <t>Teodoro Schmidt</t>
  </si>
  <si>
    <t>Traiguén</t>
  </si>
  <si>
    <t>Victoria</t>
  </si>
  <si>
    <t>Vilcún</t>
  </si>
  <si>
    <t>La Unión</t>
  </si>
  <si>
    <t>Los Lagos</t>
  </si>
  <si>
    <t>Máfil</t>
  </si>
  <si>
    <t>Mariquina</t>
  </si>
  <si>
    <t>Paillaco</t>
  </si>
  <si>
    <t>Río Bueno</t>
  </si>
  <si>
    <t>Frutillar</t>
  </si>
  <si>
    <t>Fresia</t>
  </si>
  <si>
    <t>Osorno</t>
  </si>
  <si>
    <t>Puerto Octay</t>
  </si>
  <si>
    <t>Purranque</t>
  </si>
  <si>
    <t>Río Negro</t>
  </si>
  <si>
    <t>San Pablo</t>
  </si>
  <si>
    <t>Coyhaique</t>
  </si>
  <si>
    <t>Primavera</t>
  </si>
  <si>
    <t>TOTAL NACIONAL</t>
  </si>
  <si>
    <t>Estadística Pivotes Chile</t>
  </si>
  <si>
    <t>Centro fijo</t>
  </si>
  <si>
    <t>Centro móvil</t>
  </si>
  <si>
    <t>%</t>
  </si>
  <si>
    <t>Lolol</t>
  </si>
  <si>
    <t>Superficie total (há)</t>
  </si>
  <si>
    <t>% nacional</t>
  </si>
  <si>
    <t>Pichilemu</t>
  </si>
  <si>
    <t>ha/
pivote</t>
  </si>
  <si>
    <t>Puerto varas</t>
  </si>
  <si>
    <t>Lautaro</t>
  </si>
  <si>
    <t>RM</t>
  </si>
  <si>
    <t>Superficie (ha)</t>
  </si>
  <si>
    <t>TOTAL</t>
  </si>
  <si>
    <t>Buin</t>
  </si>
  <si>
    <t>Temuco</t>
  </si>
  <si>
    <t>Coinco</t>
  </si>
  <si>
    <t>Pitrufquén</t>
  </si>
  <si>
    <t>Lago Verde</t>
  </si>
  <si>
    <t>Arica y Parinacota</t>
  </si>
  <si>
    <t>Atacama</t>
  </si>
  <si>
    <t>R.M.</t>
  </si>
  <si>
    <t>O'Higgins</t>
  </si>
  <si>
    <t>Biobío</t>
  </si>
  <si>
    <t>La Araucanía</t>
  </si>
  <si>
    <t>Los Ríos</t>
  </si>
  <si>
    <t>Aysén</t>
  </si>
  <si>
    <t>Magallanes</t>
  </si>
  <si>
    <t>Cunco</t>
  </si>
  <si>
    <t>Puerto Montt</t>
  </si>
  <si>
    <t>Constitución</t>
  </si>
  <si>
    <t>N°</t>
  </si>
  <si>
    <t>Sup.
(ha)</t>
  </si>
  <si>
    <t>Pivotes y avances instalados histórico</t>
  </si>
  <si>
    <t>Puyehue</t>
  </si>
  <si>
    <t>Antuco</t>
  </si>
  <si>
    <t>Quinta de Tilcoco</t>
  </si>
  <si>
    <t>Santa Cruz</t>
  </si>
  <si>
    <t>Villarrica</t>
  </si>
  <si>
    <t>Panguipulli</t>
  </si>
  <si>
    <t>Arica</t>
  </si>
  <si>
    <t>San Antonio</t>
  </si>
  <si>
    <t>Isla de Maipo</t>
  </si>
  <si>
    <t>Palmilla</t>
  </si>
  <si>
    <t>Llanquihue</t>
  </si>
  <si>
    <t>Torres del Paine</t>
  </si>
  <si>
    <t>Tipo de máquina actual instalada</t>
  </si>
  <si>
    <t>Ñuble</t>
  </si>
  <si>
    <t>32+15+60+42+17+30+2+3+7+29+50+14+36+2+2+2+2+1+13+18+3+3+2+50</t>
  </si>
  <si>
    <t>32+15+60+42+17+30+2+3+7+29+50+14+36+2+2+2+2+1+13+18+3+3+2-7-10-7-9-10-5</t>
  </si>
  <si>
    <t>Huasco</t>
  </si>
  <si>
    <t>Puerto Natales</t>
  </si>
  <si>
    <t>San Felipe</t>
  </si>
  <si>
    <t>Talagante</t>
  </si>
  <si>
    <t>Cantidad</t>
  </si>
  <si>
    <t>Instalados actualmente vigentes</t>
  </si>
  <si>
    <t>RESUMEN NACIONAL</t>
  </si>
  <si>
    <t>N°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</si>
</sst>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22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164" fontId="6" fillId="4" borderId="2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right"/>
    </xf>
    <xf numFmtId="3" fontId="5" fillId="4" borderId="25" xfId="0" applyNumberFormat="1" applyFont="1" applyFill="1" applyBorder="1" applyAlignment="1">
      <alignment horizontal="right"/>
    </xf>
    <xf numFmtId="3" fontId="5" fillId="4" borderId="15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2" fillId="0" borderId="0" xfId="0" applyFont="1" applyAlignment="1"/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0" fontId="0" fillId="2" borderId="0" xfId="0" applyFill="1"/>
    <xf numFmtId="164" fontId="1" fillId="0" borderId="3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164" fontId="0" fillId="6" borderId="0" xfId="0" applyNumberFormat="1" applyFill="1"/>
    <xf numFmtId="3" fontId="1" fillId="6" borderId="3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3" fontId="1" fillId="6" borderId="18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3" borderId="0" xfId="0" applyFill="1"/>
    <xf numFmtId="3" fontId="1" fillId="0" borderId="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5" xfId="0" applyFont="1" applyBorder="1"/>
    <xf numFmtId="3" fontId="1" fillId="0" borderId="33" xfId="0" applyNumberFormat="1" applyFont="1" applyBorder="1" applyAlignment="1">
      <alignment horizontal="center"/>
    </xf>
    <xf numFmtId="3" fontId="1" fillId="7" borderId="13" xfId="0" applyNumberFormat="1" applyFont="1" applyFill="1" applyBorder="1" applyAlignment="1">
      <alignment horizontal="center" vertical="center" wrapText="1"/>
    </xf>
    <xf numFmtId="9" fontId="5" fillId="4" borderId="8" xfId="1" applyFont="1" applyFill="1" applyBorder="1" applyAlignment="1">
      <alignment horizontal="center"/>
    </xf>
    <xf numFmtId="9" fontId="5" fillId="4" borderId="11" xfId="1" applyFont="1" applyFill="1" applyBorder="1" applyAlignment="1">
      <alignment horizontal="center"/>
    </xf>
    <xf numFmtId="9" fontId="5" fillId="4" borderId="4" xfId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164" fontId="1" fillId="7" borderId="27" xfId="0" applyNumberFormat="1" applyFont="1" applyFill="1" applyBorder="1" applyAlignment="1">
      <alignment horizontal="center" vertical="center"/>
    </xf>
    <xf numFmtId="164" fontId="1" fillId="7" borderId="28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3" fontId="1" fillId="9" borderId="12" xfId="0" applyNumberFormat="1" applyFont="1" applyFill="1" applyBorder="1" applyAlignment="1">
      <alignment horizontal="center" vertical="center"/>
    </xf>
    <xf numFmtId="3" fontId="1" fillId="9" borderId="16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auto="1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asociada</a:t>
            </a:r>
            <a:r>
              <a:rPr lang="es-ES" baseline="0"/>
              <a:t> a</a:t>
            </a:r>
            <a:r>
              <a:rPr lang="es-ES"/>
              <a:t> pivotes y avances frontales en Chile</a:t>
            </a:r>
          </a:p>
          <a:p>
            <a:pPr>
              <a:defRPr/>
            </a:pPr>
            <a:r>
              <a:rPr lang="es-ES"/>
              <a:t>Total nacional,</a:t>
            </a:r>
            <a:r>
              <a:rPr lang="es-ES" baseline="0"/>
              <a:t> período 2006-2019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50656420108871E-2"/>
                  <c:y val="-3.83004261299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3794428434197981E-2"/>
                  <c:y val="5.5056862561785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4394225217525042"/>
                  <c:y val="0.121389920956364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$158,ESTADÍSTICA!$P$158,ESTADÍSTICA!$R$158,ESTADÍSTICA!$T$158,ESTADÍSTICA!$V$158,ESTADÍSTICA!$X$158,ESTADÍSTICA!$Z$158,ESTADÍSTICA!$AB$158,ESTADÍSTICA!$AD$158,ESTADÍSTICA!$AF$158,ESTADÍSTICA!$AH$158,ESTADÍSTICA!$AJ$158,ESTADÍSTICA!$AL$158,ESTADÍSTICA!$AN$158)</c:f>
              <c:numCache>
                <c:formatCode>#,##0</c:formatCode>
                <c:ptCount val="14"/>
                <c:pt idx="0">
                  <c:v>415</c:v>
                </c:pt>
                <c:pt idx="1">
                  <c:v>467</c:v>
                </c:pt>
                <c:pt idx="2">
                  <c:v>502</c:v>
                </c:pt>
                <c:pt idx="3">
                  <c:v>716</c:v>
                </c:pt>
                <c:pt idx="4">
                  <c:v>828</c:v>
                </c:pt>
                <c:pt idx="5">
                  <c:v>920</c:v>
                </c:pt>
                <c:pt idx="6">
                  <c:v>1157</c:v>
                </c:pt>
                <c:pt idx="7">
                  <c:v>1324</c:v>
                </c:pt>
                <c:pt idx="8">
                  <c:v>1576</c:v>
                </c:pt>
                <c:pt idx="9">
                  <c:v>1720</c:v>
                </c:pt>
                <c:pt idx="10">
                  <c:v>1793</c:v>
                </c:pt>
                <c:pt idx="11">
                  <c:v>1881</c:v>
                </c:pt>
                <c:pt idx="12">
                  <c:v>1952</c:v>
                </c:pt>
                <c:pt idx="13">
                  <c:v>2030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2-439E-9B60-F539BE4B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57232"/>
        <c:axId val="70885017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2122958693564E-2"/>
                  <c:y val="-5.0269309295543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2513608709574125E-2"/>
                  <c:y val="6.4631969094270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450256037879992"/>
                  <c:y val="0.215368837627303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$158,ESTADÍSTICA!$Q$158,ESTADÍSTICA!$S$158,ESTADÍSTICA!$U$158,ESTADÍSTICA!$W$158,ESTADÍSTICA!$Y$158,ESTADÍSTICA!$AA$158,ESTADÍSTICA!$AC$158,ESTADÍSTICA!$AE$158,ESTADÍSTICA!$AG$158,ESTADÍSTICA!$AI$158,ESTADÍSTICA!$AK$158,ESTADÍSTICA!$AM$158,ESTADÍSTICA!$AO$158)</c:f>
              <c:numCache>
                <c:formatCode>#,##0</c:formatCode>
                <c:ptCount val="14"/>
                <c:pt idx="0">
                  <c:v>24244</c:v>
                </c:pt>
                <c:pt idx="1">
                  <c:v>26781</c:v>
                </c:pt>
                <c:pt idx="2">
                  <c:v>28607</c:v>
                </c:pt>
                <c:pt idx="3">
                  <c:v>39535</c:v>
                </c:pt>
                <c:pt idx="4">
                  <c:v>45443</c:v>
                </c:pt>
                <c:pt idx="5">
                  <c:v>49812</c:v>
                </c:pt>
                <c:pt idx="6">
                  <c:v>60900</c:v>
                </c:pt>
                <c:pt idx="7">
                  <c:v>67776</c:v>
                </c:pt>
                <c:pt idx="8">
                  <c:v>78523</c:v>
                </c:pt>
                <c:pt idx="9">
                  <c:v>84711</c:v>
                </c:pt>
                <c:pt idx="10">
                  <c:v>87506</c:v>
                </c:pt>
                <c:pt idx="11">
                  <c:v>91198</c:v>
                </c:pt>
                <c:pt idx="12">
                  <c:v>93979</c:v>
                </c:pt>
                <c:pt idx="13">
                  <c:v>96712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2-439E-9B60-F539BE4B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50960"/>
        <c:axId val="708850568"/>
      </c:lineChart>
      <c:catAx>
        <c:axId val="70885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50176"/>
        <c:crosses val="autoZero"/>
        <c:auto val="1"/>
        <c:lblAlgn val="ctr"/>
        <c:lblOffset val="100"/>
        <c:noMultiLvlLbl val="0"/>
      </c:catAx>
      <c:valAx>
        <c:axId val="70885017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57232"/>
        <c:crosses val="autoZero"/>
        <c:crossBetween val="between"/>
        <c:majorUnit val="200"/>
      </c:valAx>
      <c:valAx>
        <c:axId val="708850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50960"/>
        <c:crosses val="max"/>
        <c:crossBetween val="between"/>
        <c:majorUnit val="10000"/>
        <c:minorUnit val="1000"/>
      </c:valAx>
      <c:catAx>
        <c:axId val="70885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50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La Araucanía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$130,ESTADÍSTICA!$P$130,ESTADÍSTICA!$R$130,ESTADÍSTICA!$T$130,ESTADÍSTICA!$V$130,ESTADÍSTICA!$X$130,ESTADÍSTICA!$Z$130,ESTADÍSTICA!$AB$130,ESTADÍSTICA!$AD$130,ESTADÍSTICA!$AF$130,ESTADÍSTICA!$AH$130,ESTADÍSTICA!$AJ$130,ESTADÍSTICA!$AL$130,ESTADÍSTICA!$AN$130)</c:f>
              <c:numCache>
                <c:formatCode>#,##0</c:formatCode>
                <c:ptCount val="14"/>
                <c:pt idx="0">
                  <c:v>47</c:v>
                </c:pt>
                <c:pt idx="1">
                  <c:v>50</c:v>
                </c:pt>
                <c:pt idx="2">
                  <c:v>57</c:v>
                </c:pt>
                <c:pt idx="3">
                  <c:v>82</c:v>
                </c:pt>
                <c:pt idx="4">
                  <c:v>95</c:v>
                </c:pt>
                <c:pt idx="5">
                  <c:v>105</c:v>
                </c:pt>
                <c:pt idx="6">
                  <c:v>118</c:v>
                </c:pt>
                <c:pt idx="7">
                  <c:v>141</c:v>
                </c:pt>
                <c:pt idx="8">
                  <c:v>162</c:v>
                </c:pt>
                <c:pt idx="9">
                  <c:v>189</c:v>
                </c:pt>
                <c:pt idx="10">
                  <c:v>191</c:v>
                </c:pt>
                <c:pt idx="11">
                  <c:v>201</c:v>
                </c:pt>
                <c:pt idx="12">
                  <c:v>205</c:v>
                </c:pt>
                <c:pt idx="13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95-4D2C-9331-7EA2DF4B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8000"/>
        <c:axId val="708888200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$130,ESTADÍSTICA!$Q$130,ESTADÍSTICA!$S$130,ESTADÍSTICA!$U$130,ESTADÍSTICA!$W$130,ESTADÍSTICA!$Y$130,ESTADÍSTICA!$AA$130,ESTADÍSTICA!$AC$130,ESTADÍSTICA!$AE$130,ESTADÍSTICA!$AG$130,ESTADÍSTICA!$AI$130,ESTADÍSTICA!$AK$130,ESTADÍSTICA!$AM$130,ESTADÍSTICA!$AO$130)</c:f>
              <c:numCache>
                <c:formatCode>#,##0</c:formatCode>
                <c:ptCount val="14"/>
                <c:pt idx="0">
                  <c:v>2635</c:v>
                </c:pt>
                <c:pt idx="1">
                  <c:v>2795</c:v>
                </c:pt>
                <c:pt idx="2">
                  <c:v>3318</c:v>
                </c:pt>
                <c:pt idx="3">
                  <c:v>4863</c:v>
                </c:pt>
                <c:pt idx="4">
                  <c:v>5643</c:v>
                </c:pt>
                <c:pt idx="5">
                  <c:v>6207</c:v>
                </c:pt>
                <c:pt idx="6">
                  <c:v>6980</c:v>
                </c:pt>
                <c:pt idx="7">
                  <c:v>7997</c:v>
                </c:pt>
                <c:pt idx="8">
                  <c:v>9300</c:v>
                </c:pt>
                <c:pt idx="9">
                  <c:v>10825</c:v>
                </c:pt>
                <c:pt idx="10">
                  <c:v>10898</c:v>
                </c:pt>
                <c:pt idx="11">
                  <c:v>11275</c:v>
                </c:pt>
                <c:pt idx="12">
                  <c:v>11514</c:v>
                </c:pt>
                <c:pt idx="13">
                  <c:v>11740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95-4D2C-9331-7EA2DF4B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7800"/>
        <c:axId val="708888592"/>
      </c:lineChart>
      <c:catAx>
        <c:axId val="7088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88200"/>
        <c:crosses val="autoZero"/>
        <c:auto val="1"/>
        <c:lblAlgn val="ctr"/>
        <c:lblOffset val="100"/>
        <c:noMultiLvlLbl val="0"/>
      </c:catAx>
      <c:valAx>
        <c:axId val="708888200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8000"/>
        <c:crosses val="autoZero"/>
        <c:crossBetween val="between"/>
        <c:majorUnit val="50"/>
        <c:minorUnit val="1"/>
      </c:valAx>
      <c:valAx>
        <c:axId val="7088885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7800"/>
        <c:crosses val="max"/>
        <c:crossBetween val="between"/>
        <c:majorUnit val="2000"/>
      </c:valAx>
      <c:catAx>
        <c:axId val="708907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88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Los Ríos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$138,ESTADÍSTICA!$P$138,ESTADÍSTICA!$R$138,ESTADÍSTICA!$T$138,ESTADÍSTICA!$V$138,ESTADÍSTICA!$X$138,ESTADÍSTICA!$Z$138,ESTADÍSTICA!$AB$138,ESTADÍSTICA!$AD$138,ESTADÍSTICA!$AF$138,ESTADÍSTICA!$AH$138,ESTADÍSTICA!$AJ$138,ESTADÍSTICA!$AL$138,ESTADÍSTICA!$AN$138)</c:f>
              <c:numCache>
                <c:formatCode>#,##0</c:formatCode>
                <c:ptCount val="14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31</c:v>
                </c:pt>
                <c:pt idx="5">
                  <c:v>36</c:v>
                </c:pt>
                <c:pt idx="6">
                  <c:v>42</c:v>
                </c:pt>
                <c:pt idx="7">
                  <c:v>43</c:v>
                </c:pt>
                <c:pt idx="8">
                  <c:v>55</c:v>
                </c:pt>
                <c:pt idx="9">
                  <c:v>60</c:v>
                </c:pt>
                <c:pt idx="10">
                  <c:v>63</c:v>
                </c:pt>
                <c:pt idx="11">
                  <c:v>77</c:v>
                </c:pt>
                <c:pt idx="12">
                  <c:v>83</c:v>
                </c:pt>
                <c:pt idx="13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2-4396-83EC-F0739C25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9368"/>
        <c:axId val="70890309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$138,ESTADÍSTICA!$Q$138,ESTADÍSTICA!$S$138,ESTADÍSTICA!$U$138,ESTADÍSTICA!$W$138,ESTADÍSTICA!$Y$138,ESTADÍSTICA!$AA$138,ESTADÍSTICA!$AC$138,ESTADÍSTICA!$AE$138,ESTADÍSTICA!$AG$138,ESTADÍSTICA!$AI$138,ESTADÍSTICA!$AK$138,ESTADÍSTICA!$AM$138,ESTADÍSTICA!$AO$138)</c:f>
              <c:numCache>
                <c:formatCode>#,##0</c:formatCode>
                <c:ptCount val="14"/>
                <c:pt idx="0">
                  <c:v>476</c:v>
                </c:pt>
                <c:pt idx="1">
                  <c:v>1059</c:v>
                </c:pt>
                <c:pt idx="2">
                  <c:v>1195</c:v>
                </c:pt>
                <c:pt idx="3">
                  <c:v>1465</c:v>
                </c:pt>
                <c:pt idx="4">
                  <c:v>2631</c:v>
                </c:pt>
                <c:pt idx="5">
                  <c:v>2866</c:v>
                </c:pt>
                <c:pt idx="6">
                  <c:v>3400</c:v>
                </c:pt>
                <c:pt idx="7">
                  <c:v>3450</c:v>
                </c:pt>
                <c:pt idx="8">
                  <c:v>3920</c:v>
                </c:pt>
                <c:pt idx="9">
                  <c:v>4149</c:v>
                </c:pt>
                <c:pt idx="10">
                  <c:v>4289</c:v>
                </c:pt>
                <c:pt idx="11">
                  <c:v>4956</c:v>
                </c:pt>
                <c:pt idx="12">
                  <c:v>5275</c:v>
                </c:pt>
                <c:pt idx="13">
                  <c:v>5870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2-4396-83EC-F0739C25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3488"/>
        <c:axId val="708910152"/>
      </c:lineChart>
      <c:catAx>
        <c:axId val="70890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3096"/>
        <c:crosses val="autoZero"/>
        <c:auto val="1"/>
        <c:lblAlgn val="ctr"/>
        <c:lblOffset val="100"/>
        <c:noMultiLvlLbl val="0"/>
      </c:catAx>
      <c:valAx>
        <c:axId val="70890309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9368"/>
        <c:crosses val="autoZero"/>
        <c:crossBetween val="between"/>
        <c:majorUnit val="20"/>
        <c:minorUnit val="1"/>
      </c:valAx>
      <c:valAx>
        <c:axId val="708910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3488"/>
        <c:crosses val="max"/>
        <c:crossBetween val="between"/>
        <c:majorUnit val="500"/>
      </c:valAx>
      <c:catAx>
        <c:axId val="7089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910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Los Lagos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8417960723209312E-3"/>
                  <c:y val="8.07021267291737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$150,ESTADÍSTICA!$P$150,ESTADÍSTICA!$R$150,ESTADÍSTICA!$T$150,ESTADÍSTICA!$V$150,ESTADÍSTICA!$X$150,ESTADÍSTICA!$Z$150,ESTADÍSTICA!$AB$150,ESTADÍSTICA!$AD$150,ESTADÍSTICA!$AF$150,ESTADÍSTICA!$AH$150,ESTADÍSTICA!$AJ$150,ESTADÍSTICA!$AL$150,ESTADÍSTICA!$AN$150)</c:f>
              <c:numCache>
                <c:formatCode>#,##0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35</c:v>
                </c:pt>
                <c:pt idx="10">
                  <c:v>45</c:v>
                </c:pt>
                <c:pt idx="11">
                  <c:v>50</c:v>
                </c:pt>
                <c:pt idx="12">
                  <c:v>58</c:v>
                </c:pt>
                <c:pt idx="13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16-4015-8493-0DF90C573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11328"/>
        <c:axId val="708908584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580753414468734E-2"/>
                  <c:y val="0.101130465727150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$150,ESTADÍSTICA!$Q$150,ESTADÍSTICA!$S$150,ESTADÍSTICA!$U$150,ESTADÍSTICA!$W$150,ESTADÍSTICA!$Y$150,ESTADÍSTICA!$AA$150,ESTADÍSTICA!$AC$150,ESTADÍSTICA!$AE$150,ESTADÍSTICA!$AG$150,ESTADÍSTICA!$AI$150,ESTADÍSTICA!$AK$150,ESTADÍSTICA!$AM$150,ESTADÍSTICA!$AO$150)</c:f>
              <c:numCache>
                <c:formatCode>#,##0</c:formatCode>
                <c:ptCount val="14"/>
                <c:pt idx="0">
                  <c:v>55</c:v>
                </c:pt>
                <c:pt idx="1">
                  <c:v>140</c:v>
                </c:pt>
                <c:pt idx="2">
                  <c:v>342</c:v>
                </c:pt>
                <c:pt idx="3">
                  <c:v>456</c:v>
                </c:pt>
                <c:pt idx="4">
                  <c:v>573</c:v>
                </c:pt>
                <c:pt idx="5">
                  <c:v>780</c:v>
                </c:pt>
                <c:pt idx="6">
                  <c:v>828</c:v>
                </c:pt>
                <c:pt idx="7">
                  <c:v>1010</c:v>
                </c:pt>
                <c:pt idx="8">
                  <c:v>1093</c:v>
                </c:pt>
                <c:pt idx="9">
                  <c:v>1554</c:v>
                </c:pt>
                <c:pt idx="10">
                  <c:v>1930</c:v>
                </c:pt>
                <c:pt idx="11">
                  <c:v>2198</c:v>
                </c:pt>
                <c:pt idx="12">
                  <c:v>2650</c:v>
                </c:pt>
                <c:pt idx="13">
                  <c:v>2710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6-4015-8493-0DF90C573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10544"/>
        <c:axId val="708908976"/>
      </c:lineChart>
      <c:catAx>
        <c:axId val="70891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8584"/>
        <c:crosses val="autoZero"/>
        <c:auto val="1"/>
        <c:lblAlgn val="ctr"/>
        <c:lblOffset val="100"/>
        <c:noMultiLvlLbl val="0"/>
      </c:catAx>
      <c:valAx>
        <c:axId val="70890858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11328"/>
        <c:crosses val="autoZero"/>
        <c:crossBetween val="between"/>
        <c:majorUnit val="10"/>
        <c:minorUnit val="1"/>
      </c:valAx>
      <c:valAx>
        <c:axId val="7089089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10544"/>
        <c:crosses val="max"/>
        <c:crossBetween val="between"/>
        <c:majorUnit val="200"/>
      </c:valAx>
      <c:catAx>
        <c:axId val="70891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908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Aysén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$153,ESTADÍSTICA!$P$153,ESTADÍSTICA!$R$153,ESTADÍSTICA!$T$153,ESTADÍSTICA!$V$153,ESTADÍSTICA!$X$153,ESTADÍSTICA!$Z$153,ESTADÍSTICA!$AB$153,ESTADÍSTICA!$AD$153,ESTADÍSTICA!$AF$153,ESTADÍSTICA!$AH$153,ESTADÍSTICA!$AJ$153,ESTADÍSTICA!$AL$153,ESTADÍSTICA!$AN$153)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43-4FD9-8C48-A99F00F83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6624"/>
        <c:axId val="70891093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$153,ESTADÍSTICA!$Q$153,ESTADÍSTICA!$S$153,ESTADÍSTICA!$U$153,ESTADÍSTICA!$W$153,ESTADÍSTICA!$Y$153,ESTADÍSTICA!$AA$153,ESTADÍSTICA!$AC$153,ESTADÍSTICA!$AE$153,ESTADÍSTICA!$AG$153,ESTADÍSTICA!$AI$153,ESTADÍSTICA!$AK$153,ESTADÍSTICA!$AM$153,ESTADÍSTICA!$AO$153)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  <c:pt idx="10">
                  <c:v>128</c:v>
                </c:pt>
                <c:pt idx="11">
                  <c:v>380</c:v>
                </c:pt>
                <c:pt idx="12">
                  <c:v>531</c:v>
                </c:pt>
                <c:pt idx="13">
                  <c:v>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43-4FD9-8C48-A99F00F83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4664"/>
        <c:axId val="708911720"/>
      </c:lineChart>
      <c:catAx>
        <c:axId val="70890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10936"/>
        <c:crosses val="autoZero"/>
        <c:auto val="1"/>
        <c:lblAlgn val="ctr"/>
        <c:lblOffset val="100"/>
        <c:noMultiLvlLbl val="0"/>
      </c:catAx>
      <c:valAx>
        <c:axId val="708910936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6624"/>
        <c:crosses val="autoZero"/>
        <c:crossBetween val="between"/>
        <c:majorUnit val="1"/>
        <c:minorUnit val="1"/>
      </c:valAx>
      <c:valAx>
        <c:axId val="708911720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4664"/>
        <c:crosses val="max"/>
        <c:crossBetween val="between"/>
        <c:majorUnit val="50"/>
      </c:valAx>
      <c:catAx>
        <c:axId val="708904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91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Magallanes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$157,ESTADÍSTICA!$P$157,ESTADÍSTICA!$R$157,ESTADÍSTICA!$T$157,ESTADÍSTICA!$V$157,ESTADÍSTICA!$X$157,ESTADÍSTICA!$Z$157,ESTADÍSTICA!$AB$157,ESTADÍSTICA!$AD$157,ESTADÍSTICA!$AF$157,ESTADÍSTICA!$AH$157,ESTADÍSTICA!$AJ$157,ESTADÍSTICA!$AL$157,ESTADÍSTICA!$AN$157)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80-4221-9193-54B9012E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9960"/>
        <c:axId val="70890505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$157,ESTADÍSTICA!$Q$157,ESTADÍSTICA!$S$157,ESTADÍSTICA!$U$157,ESTADÍSTICA!$W$157,ESTADÍSTICA!$Y$157,ESTADÍSTICA!$AA$157,ESTADÍSTICA!$AC$157,ESTADÍSTICA!$AE$157,ESTADÍSTICA!$AG$157,ESTADÍSTICA!$AI$157,ESTADÍSTICA!$AK$157,ESTADÍSTICA!$AM$157,ESTADÍSTICA!$AO$157)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</c:v>
                </c:pt>
                <c:pt idx="10">
                  <c:v>51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0-4221-9193-54B9012E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00744"/>
        <c:axId val="708900352"/>
      </c:lineChart>
      <c:catAx>
        <c:axId val="70889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5056"/>
        <c:crosses val="autoZero"/>
        <c:auto val="1"/>
        <c:lblAlgn val="ctr"/>
        <c:lblOffset val="100"/>
        <c:noMultiLvlLbl val="0"/>
      </c:catAx>
      <c:valAx>
        <c:axId val="7089050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9960"/>
        <c:crosses val="autoZero"/>
        <c:crossBetween val="between"/>
        <c:majorUnit val="1"/>
        <c:minorUnit val="1"/>
      </c:valAx>
      <c:valAx>
        <c:axId val="708900352"/>
        <c:scaling>
          <c:orientation val="minMax"/>
          <c:max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00744"/>
        <c:crosses val="max"/>
        <c:crossBetween val="between"/>
        <c:majorUnit val="20"/>
      </c:valAx>
      <c:catAx>
        <c:axId val="708900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900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N° de pivotes centrales y avances frontales</a:t>
            </a:r>
          </a:p>
          <a:p>
            <a:pPr>
              <a:defRPr/>
            </a:pPr>
            <a:r>
              <a:rPr lang="es-ES"/>
              <a:t>por región, período 2006-2019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8364324651726228E-2"/>
          <c:y val="0.12476683937823835"/>
          <c:w val="0.90881516252776096"/>
          <c:h val="0.83332580836721837"/>
        </c:manualLayout>
      </c:layout>
      <c:lineChart>
        <c:grouping val="standard"/>
        <c:varyColors val="0"/>
        <c:ser>
          <c:idx val="0"/>
          <c:order val="0"/>
          <c:tx>
            <c:v>Coquimbo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(ESTADÍSTICA!$N$15,ESTADÍSTICA!$P$15,ESTADÍSTICA!$R$15,ESTADÍSTICA!$T$15,ESTADÍSTICA!$V$15,ESTADÍSTICA!$X$15,ESTADÍSTICA!$Z$15,ESTADÍSTICA!$AB$15,ESTADÍSTICA!$AD$15,ESTADÍSTICA!$AF$15,ESTADÍSTICA!$AH$15,ESTADÍSTICA!$AJ$15,ESTADÍSTICA!$AL$15,ESTADÍSTICA!$AN$15)</c:f>
              <c:numCache>
                <c:formatCode>#,##0</c:formatCode>
                <c:ptCount val="14"/>
                <c:pt idx="0">
                  <c:v>12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269D-4A70-8942-414987E4A655}"/>
            </c:ext>
          </c:extLst>
        </c:ser>
        <c:ser>
          <c:idx val="1"/>
          <c:order val="1"/>
          <c:tx>
            <c:v>Valparaíso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(ESTADÍSTICA!$N$24,ESTADÍSTICA!$P$24,ESTADÍSTICA!$R$24,ESTADÍSTICA!$T$24,ESTADÍSTICA!$V$24,ESTADÍSTICA!$X$24,ESTADÍSTICA!$Z$24,ESTADÍSTICA!$AB$24,ESTADÍSTICA!$AD$24,ESTADÍSTICA!$AF$24,ESTADÍSTICA!$AH$24,ESTADÍSTICA!$AJ$24,ESTADÍSTICA!$AL$24,ESTADÍSTICA!$AN$24)</c:f>
              <c:numCache>
                <c:formatCode>#,##0</c:formatCode>
                <c:ptCount val="14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269D-4A70-8942-414987E4A655}"/>
            </c:ext>
          </c:extLst>
        </c:ser>
        <c:ser>
          <c:idx val="2"/>
          <c:order val="2"/>
          <c:tx>
            <c:v>R.M.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(ESTADÍSTICA!$N$35,ESTADÍSTICA!$P$35,ESTADÍSTICA!$R$35,ESTADÍSTICA!$T$35,ESTADÍSTICA!$V$35,ESTADÍSTICA!$X$35,ESTADÍSTICA!$Z$35,ESTADÍSTICA!$AB$35,ESTADÍSTICA!$AD$35,ESTADÍSTICA!$AF$35,ESTADÍSTICA!$AH$35,ESTADÍSTICA!$AJ$35,ESTADÍSTICA!$AL$35,ESTADÍSTICA!$AN$35)</c:f>
              <c:numCache>
                <c:formatCode>#,##0</c:formatCode>
                <c:ptCount val="14"/>
                <c:pt idx="0">
                  <c:v>79</c:v>
                </c:pt>
                <c:pt idx="1">
                  <c:v>88</c:v>
                </c:pt>
                <c:pt idx="2">
                  <c:v>92</c:v>
                </c:pt>
                <c:pt idx="3">
                  <c:v>127</c:v>
                </c:pt>
                <c:pt idx="4">
                  <c:v>134</c:v>
                </c:pt>
                <c:pt idx="5">
                  <c:v>136</c:v>
                </c:pt>
                <c:pt idx="6">
                  <c:v>130</c:v>
                </c:pt>
                <c:pt idx="7">
                  <c:v>126</c:v>
                </c:pt>
                <c:pt idx="8">
                  <c:v>127</c:v>
                </c:pt>
                <c:pt idx="9">
                  <c:v>130</c:v>
                </c:pt>
                <c:pt idx="10">
                  <c:v>134</c:v>
                </c:pt>
                <c:pt idx="11">
                  <c:v>141</c:v>
                </c:pt>
                <c:pt idx="12">
                  <c:v>140</c:v>
                </c:pt>
                <c:pt idx="13">
                  <c:v>138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269D-4A70-8942-414987E4A655}"/>
            </c:ext>
          </c:extLst>
        </c:ser>
        <c:ser>
          <c:idx val="3"/>
          <c:order val="3"/>
          <c:tx>
            <c:v>O'Higgins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(ESTADÍSTICA!$N$54,ESTADÍSTICA!$P$54,ESTADÍSTICA!$R$54,ESTADÍSTICA!$T$54,ESTADÍSTICA!$V$54,ESTADÍSTICA!$X$54,ESTADÍSTICA!$Z$54,ESTADÍSTICA!$AB$54,ESTADÍSTICA!$AD$54,ESTADÍSTICA!$AF$54,ESTADÍSTICA!$AH$54,ESTADÍSTICA!$AJ$54,ESTADÍSTICA!$AL$54,ESTADÍSTICA!$AN$54)</c:f>
              <c:numCache>
                <c:formatCode>#,##0</c:formatCode>
                <c:ptCount val="14"/>
                <c:pt idx="0">
                  <c:v>24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43</c:v>
                </c:pt>
                <c:pt idx="9">
                  <c:v>51</c:v>
                </c:pt>
                <c:pt idx="10">
                  <c:v>55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269D-4A70-8942-414987E4A655}"/>
            </c:ext>
          </c:extLst>
        </c:ser>
        <c:ser>
          <c:idx val="4"/>
          <c:order val="4"/>
          <c:tx>
            <c:strRef>
              <c:f>ESTADÍSTICA!$A$79</c:f>
              <c:strCache>
                <c:ptCount val="1"/>
                <c:pt idx="0">
                  <c:v>Maule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(ESTADÍSTICA!$N$79,ESTADÍSTICA!$P$79,ESTADÍSTICA!$R$79,ESTADÍSTICA!$T$79,ESTADÍSTICA!$V$79,ESTADÍSTICA!$X$79,ESTADÍSTICA!$Z$79,ESTADÍSTICA!$AB$79,ESTADÍSTICA!$AD$79,ESTADÍSTICA!$AF$79,ESTADÍSTICA!$AH$79,ESTADÍSTICA!$AJ$79,ESTADÍSTICA!$AL$79,ESTADÍSTICA!$AN$79)</c:f>
              <c:numCache>
                <c:formatCode>#,##0</c:formatCode>
                <c:ptCount val="14"/>
                <c:pt idx="0">
                  <c:v>35</c:v>
                </c:pt>
                <c:pt idx="1">
                  <c:v>42</c:v>
                </c:pt>
                <c:pt idx="2">
                  <c:v>44</c:v>
                </c:pt>
                <c:pt idx="3">
                  <c:v>83</c:v>
                </c:pt>
                <c:pt idx="4">
                  <c:v>115</c:v>
                </c:pt>
                <c:pt idx="5">
                  <c:v>145</c:v>
                </c:pt>
                <c:pt idx="6">
                  <c:v>219</c:v>
                </c:pt>
                <c:pt idx="7">
                  <c:v>292</c:v>
                </c:pt>
                <c:pt idx="8">
                  <c:v>386</c:v>
                </c:pt>
                <c:pt idx="9">
                  <c:v>424</c:v>
                </c:pt>
                <c:pt idx="10">
                  <c:v>449</c:v>
                </c:pt>
                <c:pt idx="11">
                  <c:v>461</c:v>
                </c:pt>
                <c:pt idx="12">
                  <c:v>471</c:v>
                </c:pt>
                <c:pt idx="13">
                  <c:v>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9D-4A70-8942-414987E4A655}"/>
            </c:ext>
          </c:extLst>
        </c:ser>
        <c:ser>
          <c:idx val="11"/>
          <c:order val="5"/>
          <c:tx>
            <c:strRef>
              <c:f>ESTADÍSTICA!$A$93</c:f>
              <c:strCache>
                <c:ptCount val="1"/>
                <c:pt idx="0">
                  <c:v>Ñuble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(ESTADÍSTICA!$N$93,ESTADÍSTICA!$P$93,ESTADÍSTICA!$R$93,ESTADÍSTICA!$T$93,ESTADÍSTICA!$V$93,ESTADÍSTICA!$X$93,ESTADÍSTICA!$Z$93,ESTADÍSTICA!$AB$93,ESTADÍSTICA!$AD$93,ESTADÍSTICA!$AF$93,ESTADÍSTICA!$AH$93,ESTADÍSTICA!$AJ$93,ESTADÍSTICA!$AL$93,ESTADÍSTICA!$AN$93)</c:f>
              <c:numCache>
                <c:formatCode>#,##0</c:formatCode>
                <c:ptCount val="14"/>
                <c:pt idx="0">
                  <c:v>107</c:v>
                </c:pt>
                <c:pt idx="1">
                  <c:v>115</c:v>
                </c:pt>
                <c:pt idx="2">
                  <c:v>127</c:v>
                </c:pt>
                <c:pt idx="3">
                  <c:v>187</c:v>
                </c:pt>
                <c:pt idx="4">
                  <c:v>210</c:v>
                </c:pt>
                <c:pt idx="5">
                  <c:v>229</c:v>
                </c:pt>
                <c:pt idx="6">
                  <c:v>298</c:v>
                </c:pt>
                <c:pt idx="7">
                  <c:v>327</c:v>
                </c:pt>
                <c:pt idx="8">
                  <c:v>394</c:v>
                </c:pt>
                <c:pt idx="9">
                  <c:v>414</c:v>
                </c:pt>
                <c:pt idx="10">
                  <c:v>430</c:v>
                </c:pt>
                <c:pt idx="11">
                  <c:v>448</c:v>
                </c:pt>
                <c:pt idx="12">
                  <c:v>452</c:v>
                </c:pt>
                <c:pt idx="13">
                  <c:v>463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ESTADÍSTICA!$A$108</c:f>
              <c:strCache>
                <c:ptCount val="1"/>
                <c:pt idx="0">
                  <c:v>Biobío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$108,ESTADÍSTICA!$P$108,ESTADÍSTICA!$R$108,ESTADÍSTICA!$T$108,ESTADÍSTICA!$V$108,ESTADÍSTICA!$X$108,ESTADÍSTICA!$Z$108,ESTADÍSTICA!$AB$108,ESTADÍSTICA!$AD$108,ESTADÍSTICA!$AF$108,ESTADÍSTICA!$AH$108,ESTADÍSTICA!$AJ$108,ESTADÍSTICA!$AL$108,ESTADÍSTICA!$AN$108)</c:f>
              <c:numCache>
                <c:formatCode>#,##0</c:formatCode>
                <c:ptCount val="14"/>
                <c:pt idx="0">
                  <c:v>82</c:v>
                </c:pt>
                <c:pt idx="1">
                  <c:v>85</c:v>
                </c:pt>
                <c:pt idx="2">
                  <c:v>88</c:v>
                </c:pt>
                <c:pt idx="3">
                  <c:v>137</c:v>
                </c:pt>
                <c:pt idx="4">
                  <c:v>156</c:v>
                </c:pt>
                <c:pt idx="5">
                  <c:v>168</c:v>
                </c:pt>
                <c:pt idx="6">
                  <c:v>245</c:v>
                </c:pt>
                <c:pt idx="7">
                  <c:v>276</c:v>
                </c:pt>
                <c:pt idx="8">
                  <c:v>325</c:v>
                </c:pt>
                <c:pt idx="9">
                  <c:v>353</c:v>
                </c:pt>
                <c:pt idx="10">
                  <c:v>364</c:v>
                </c:pt>
                <c:pt idx="11">
                  <c:v>383</c:v>
                </c:pt>
                <c:pt idx="12">
                  <c:v>421</c:v>
                </c:pt>
                <c:pt idx="13">
                  <c:v>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9D-4A70-8942-414987E4A655}"/>
            </c:ext>
          </c:extLst>
        </c:ser>
        <c:ser>
          <c:idx val="6"/>
          <c:order val="7"/>
          <c:tx>
            <c:strRef>
              <c:f>ESTADÍSTICA!$A$130</c:f>
              <c:strCache>
                <c:ptCount val="1"/>
                <c:pt idx="0">
                  <c:v>La Araucanía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$130,ESTADÍSTICA!$P$130,ESTADÍSTICA!$R$130,ESTADÍSTICA!$T$130,ESTADÍSTICA!$V$130,ESTADÍSTICA!$X$130,ESTADÍSTICA!$Z$130,ESTADÍSTICA!$AB$130,ESTADÍSTICA!$AD$130,ESTADÍSTICA!$AF$130,ESTADÍSTICA!$AH$130,ESTADÍSTICA!$AJ$130,ESTADÍSTICA!$AL$130,ESTADÍSTICA!$AN$130)</c:f>
              <c:numCache>
                <c:formatCode>#,##0</c:formatCode>
                <c:ptCount val="14"/>
                <c:pt idx="0">
                  <c:v>47</c:v>
                </c:pt>
                <c:pt idx="1">
                  <c:v>50</c:v>
                </c:pt>
                <c:pt idx="2">
                  <c:v>57</c:v>
                </c:pt>
                <c:pt idx="3">
                  <c:v>82</c:v>
                </c:pt>
                <c:pt idx="4">
                  <c:v>95</c:v>
                </c:pt>
                <c:pt idx="5">
                  <c:v>105</c:v>
                </c:pt>
                <c:pt idx="6">
                  <c:v>118</c:v>
                </c:pt>
                <c:pt idx="7">
                  <c:v>141</c:v>
                </c:pt>
                <c:pt idx="8">
                  <c:v>162</c:v>
                </c:pt>
                <c:pt idx="9">
                  <c:v>189</c:v>
                </c:pt>
                <c:pt idx="10">
                  <c:v>191</c:v>
                </c:pt>
                <c:pt idx="11">
                  <c:v>201</c:v>
                </c:pt>
                <c:pt idx="12">
                  <c:v>205</c:v>
                </c:pt>
                <c:pt idx="13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69D-4A70-8942-414987E4A655}"/>
            </c:ext>
          </c:extLst>
        </c:ser>
        <c:ser>
          <c:idx val="7"/>
          <c:order val="8"/>
          <c:tx>
            <c:v>Los Ríos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$138,ESTADÍSTICA!$P$138,ESTADÍSTICA!$R$138,ESTADÍSTICA!$T$138,ESTADÍSTICA!$V$138,ESTADÍSTICA!$X$138,ESTADÍSTICA!$Z$138,ESTADÍSTICA!$AB$138,ESTADÍSTICA!$AD$138,ESTADÍSTICA!$AF$138,ESTADÍSTICA!$AH$138,ESTADÍSTICA!$AJ$138,ESTADÍSTICA!$AL$138,ESTADÍSTICA!$AN$138)</c:f>
              <c:numCache>
                <c:formatCode>#,##0</c:formatCode>
                <c:ptCount val="14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31</c:v>
                </c:pt>
                <c:pt idx="5">
                  <c:v>36</c:v>
                </c:pt>
                <c:pt idx="6">
                  <c:v>42</c:v>
                </c:pt>
                <c:pt idx="7">
                  <c:v>43</c:v>
                </c:pt>
                <c:pt idx="8">
                  <c:v>55</c:v>
                </c:pt>
                <c:pt idx="9">
                  <c:v>60</c:v>
                </c:pt>
                <c:pt idx="10">
                  <c:v>63</c:v>
                </c:pt>
                <c:pt idx="11">
                  <c:v>77</c:v>
                </c:pt>
                <c:pt idx="12">
                  <c:v>83</c:v>
                </c:pt>
                <c:pt idx="13">
                  <c:v>97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269D-4A70-8942-414987E4A655}"/>
            </c:ext>
          </c:extLst>
        </c:ser>
        <c:ser>
          <c:idx val="8"/>
          <c:order val="9"/>
          <c:tx>
            <c:v>Los Lagos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$150,ESTADÍSTICA!$P$150,ESTADÍSTICA!$R$150,ESTADÍSTICA!$T$150,ESTADÍSTICA!$V$150,ESTADÍSTICA!$X$150,ESTADÍSTICA!$Z$150,ESTADÍSTICA!$AB$150,ESTADÍSTICA!$AD$150,ESTADÍSTICA!$AF$150,ESTADÍSTICA!$AH$150,ESTADÍSTICA!$AJ$150,ESTADÍSTICA!$AL$150,ESTADÍSTICA!$AN$150)</c:f>
              <c:numCache>
                <c:formatCode>#,##0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35</c:v>
                </c:pt>
                <c:pt idx="10">
                  <c:v>45</c:v>
                </c:pt>
                <c:pt idx="11">
                  <c:v>50</c:v>
                </c:pt>
                <c:pt idx="12">
                  <c:v>58</c:v>
                </c:pt>
                <c:pt idx="13">
                  <c:v>60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8-269D-4A70-8942-414987E4A655}"/>
            </c:ext>
          </c:extLst>
        </c:ser>
        <c:ser>
          <c:idx val="9"/>
          <c:order val="10"/>
          <c:tx>
            <c:v>Aysén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$153,ESTADÍSTICA!$P$153,ESTADÍSTICA!$R$153,ESTADÍSTICA!$T$153,ESTADÍSTICA!$V$153,ESTADÍSTICA!$X$153,ESTADÍSTICA!$Z$153,ESTADÍSTICA!$AB$153,ESTADÍSTICA!$AD$153,ESTADÍSTICA!$AF$153,ESTADÍSTICA!$AH$153,ESTADÍSTICA!$AJ$153,ESTADÍSTICA!$AL$153,ESTADÍSTICA!$AN$153)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9-269D-4A70-8942-414987E4A655}"/>
            </c:ext>
          </c:extLst>
        </c:ser>
        <c:ser>
          <c:idx val="10"/>
          <c:order val="11"/>
          <c:tx>
            <c:v>Magallanes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$157,ESTADÍSTICA!$P$157,ESTADÍSTICA!$R$157,ESTADÍSTICA!$T$157,ESTADÍSTICA!$V$157,ESTADÍSTICA!$X$157,ESTADÍSTICA!$Z$157,ESTADÍSTICA!$AB$157,ESTADÍSTICA!$AD$157,ESTADÍSTICA!$AF$157,ESTADÍSTICA!$AH$157,ESTADÍSTICA!$AJ$157,ESTADÍSTICA!$AL$157,ESTADÍSTICA!$AN$157)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269D-4A70-8942-414987E4A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13288"/>
        <c:axId val="708914856"/>
        <c:extLst xmlns:c16r2="http://schemas.microsoft.com/office/drawing/2015/06/chart"/>
      </c:lineChart>
      <c:catAx>
        <c:axId val="70891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14856"/>
        <c:crosses val="autoZero"/>
        <c:auto val="1"/>
        <c:lblAlgn val="ctr"/>
        <c:lblOffset val="100"/>
        <c:noMultiLvlLbl val="0"/>
      </c:catAx>
      <c:valAx>
        <c:axId val="70891485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N° de equipos instalados</a:t>
                </a:r>
                <a:endParaRPr lang="es-419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9132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37467883628647"/>
          <c:y val="0.19697852193111198"/>
          <c:w val="9.8101831230827677E-2"/>
          <c:h val="0.43760435942265724"/>
        </c:manualLayout>
      </c:layout>
      <c:overlay val="1"/>
      <c:spPr>
        <a:solidFill>
          <a:schemeClr val="bg1"/>
        </a:solidFill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regional de pivotes y avances frontales</a:t>
            </a:r>
          </a:p>
          <a:p>
            <a:pPr>
              <a:defRPr/>
            </a:pPr>
            <a:r>
              <a:rPr lang="es-ES"/>
              <a:t>N° de máquinas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8675544088062437"/>
          <c:y val="0.19062705891584258"/>
          <c:w val="0.6264891182387512"/>
          <c:h val="0.69450061523638273"/>
        </c:manualLayout>
      </c:layout>
      <c:pieChart>
        <c:varyColors val="1"/>
        <c:ser>
          <c:idx val="1"/>
          <c:order val="0"/>
          <c:tx>
            <c:strRef>
              <c:f>ESTADÍSTICA!$AR$4</c:f>
              <c:strCache>
                <c:ptCount val="1"/>
                <c:pt idx="0">
                  <c:v>N° equipos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1F-4986-BBF2-01DF07D6C0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1F-4986-BBF2-01DF07D6C0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1F-4986-BBF2-01DF07D6C0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1F-4986-BBF2-01DF07D6C0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1F-4986-BBF2-01DF07D6C0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1F-4986-BBF2-01DF07D6C0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31F-4986-BBF2-01DF07D6C0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31F-4986-BBF2-01DF07D6C0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31F-4986-BBF2-01DF07D6C0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31F-4986-BBF2-01DF07D6C0B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31F-4986-BBF2-01DF07D6C0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31F-4986-BBF2-01DF07D6C0B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31F-4986-BBF2-01DF07D6C0B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31F-4986-BBF2-01DF07D6C0B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31F-4986-BBF2-01DF07D6C0B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582-4CF3-AF42-5E56E5AC567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ESTADÍSTICA!$AQ$5:$AQ$20</c:f>
              <c:strCach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RM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</c:strCache>
            </c:strRef>
          </c:cat>
          <c:val>
            <c:numRef>
              <c:f>ESTADÍSTICA!$AR$5:$AR$20</c:f>
              <c:numCache>
                <c:formatCode>General</c:formatCode>
                <c:ptCount val="16"/>
                <c:pt idx="0" formatCode="#,##0">
                  <c:v>3</c:v>
                </c:pt>
                <c:pt idx="1">
                  <c:v>0</c:v>
                </c:pt>
                <c:pt idx="2">
                  <c:v>0</c:v>
                </c:pt>
                <c:pt idx="3" formatCode="#,##0">
                  <c:v>1</c:v>
                </c:pt>
                <c:pt idx="4" formatCode="#,##0">
                  <c:v>23</c:v>
                </c:pt>
                <c:pt idx="5" formatCode="#,##0">
                  <c:v>30</c:v>
                </c:pt>
                <c:pt idx="6" formatCode="#,##0">
                  <c:v>138</c:v>
                </c:pt>
                <c:pt idx="7" formatCode="#,##0">
                  <c:v>54</c:v>
                </c:pt>
                <c:pt idx="8" formatCode="#,##0">
                  <c:v>491</c:v>
                </c:pt>
                <c:pt idx="9" formatCode="#,##0">
                  <c:v>463</c:v>
                </c:pt>
                <c:pt idx="10" formatCode="#,##0">
                  <c:v>449</c:v>
                </c:pt>
                <c:pt idx="11" formatCode="#,##0">
                  <c:v>210</c:v>
                </c:pt>
                <c:pt idx="12" formatCode="#,##0">
                  <c:v>60</c:v>
                </c:pt>
                <c:pt idx="13" formatCode="#,##0">
                  <c:v>8</c:v>
                </c:pt>
                <c:pt idx="14" formatCode="#,##0">
                  <c:v>3</c:v>
                </c:pt>
                <c:pt idx="15" formatCode="#,##0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831F-4986-BBF2-01DF07D6C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Distribución regional de pivotes y avances frontales</a:t>
            </a:r>
            <a:endParaRPr lang="es-E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Superficie</a:t>
            </a:r>
            <a:r>
              <a:rPr lang="en-US" baseline="0"/>
              <a:t> asociada</a:t>
            </a:r>
            <a:r>
              <a:rPr lang="en-US"/>
              <a:t> (ha)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ESTADÍSTICA!$AS$4</c:f>
              <c:strCache>
                <c:ptCount val="1"/>
                <c:pt idx="0">
                  <c:v>Superficie (ha)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78-482F-AC66-E6B6B35FE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78-482F-AC66-E6B6B35FE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78-482F-AC66-E6B6B35FE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78-482F-AC66-E6B6B35FE5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78-482F-AC66-E6B6B35FE5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78-482F-AC66-E6B6B35FE5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78-482F-AC66-E6B6B35FE5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78-482F-AC66-E6B6B35FE5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78-482F-AC66-E6B6B35FE5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78-482F-AC66-E6B6B35FE5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78-482F-AC66-E6B6B35FE5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78-482F-AC66-E6B6B35FE5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78-482F-AC66-E6B6B35FE5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78-482F-AC66-E6B6B35FE5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78-482F-AC66-E6B6B35FE5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2CC-4FAF-8BD6-C58E4958A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ESTADÍSTICA!$AQ$5:$AQ$20</c:f>
              <c:strCach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RM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</c:strCache>
            </c:strRef>
          </c:cat>
          <c:val>
            <c:numRef>
              <c:f>ESTADÍSTICA!$AS$5:$AS$20</c:f>
              <c:numCache>
                <c:formatCode>General</c:formatCode>
                <c:ptCount val="16"/>
                <c:pt idx="0" formatCode="#,##0">
                  <c:v>138</c:v>
                </c:pt>
                <c:pt idx="1">
                  <c:v>0</c:v>
                </c:pt>
                <c:pt idx="2">
                  <c:v>0</c:v>
                </c:pt>
                <c:pt idx="3" formatCode="#,##0">
                  <c:v>100</c:v>
                </c:pt>
                <c:pt idx="4" formatCode="#,##0">
                  <c:v>1201</c:v>
                </c:pt>
                <c:pt idx="5" formatCode="#,##0">
                  <c:v>1567</c:v>
                </c:pt>
                <c:pt idx="6" formatCode="#,##0">
                  <c:v>5582</c:v>
                </c:pt>
                <c:pt idx="7" formatCode="#,##0">
                  <c:v>3408</c:v>
                </c:pt>
                <c:pt idx="8" formatCode="#,##0">
                  <c:v>21238</c:v>
                </c:pt>
                <c:pt idx="9" formatCode="#,##0">
                  <c:v>20452</c:v>
                </c:pt>
                <c:pt idx="10" formatCode="#,##0">
                  <c:v>22022</c:v>
                </c:pt>
                <c:pt idx="11" formatCode="#,##0">
                  <c:v>11740</c:v>
                </c:pt>
                <c:pt idx="12" formatCode="#,##0">
                  <c:v>2710</c:v>
                </c:pt>
                <c:pt idx="13" formatCode="#,##0">
                  <c:v>531</c:v>
                </c:pt>
                <c:pt idx="14" formatCode="#,##0">
                  <c:v>153</c:v>
                </c:pt>
                <c:pt idx="15" formatCode="#,##0">
                  <c:v>5870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D78-482F-AC66-E6B6B35FE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08802253376864"/>
          <c:y val="0.92002913442923273"/>
          <c:w val="0.64718980859099928"/>
          <c:h val="6.823205683801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superficie regada de pivotes centrales y avances frontales</a:t>
            </a:r>
          </a:p>
          <a:p>
            <a:pPr>
              <a:defRPr/>
            </a:pPr>
            <a:r>
              <a:rPr lang="es-ES"/>
              <a:t>por región, período 2006-2019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8364324651726228E-2"/>
          <c:y val="0.12476683937823835"/>
          <c:w val="0.90881516252776096"/>
          <c:h val="0.83332580836721837"/>
        </c:manualLayout>
      </c:layout>
      <c:lineChart>
        <c:grouping val="standard"/>
        <c:varyColors val="0"/>
        <c:ser>
          <c:idx val="0"/>
          <c:order val="0"/>
          <c:tx>
            <c:v>Coquimbo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(ESTADÍSTICA!$O$15,ESTADÍSTICA!$Q$15,ESTADÍSTICA!$S$15,ESTADÍSTICA!$U$15,ESTADÍSTICA!$W$15,ESTADÍSTICA!$Y$15,ESTADÍSTICA!$AA$15,ESTADÍSTICA!$AC$15,ESTADÍSTICA!$AE$15,ESTADÍSTICA!$AG$15,ESTADÍSTICA!$AI$15,ESTADÍSTICA!$AK$15,ESTADÍSTICA!$AM$15,ESTADÍSTICA!$AO$15)</c:f>
              <c:numCache>
                <c:formatCode>#,##0</c:formatCode>
                <c:ptCount val="14"/>
                <c:pt idx="0">
                  <c:v>874</c:v>
                </c:pt>
                <c:pt idx="1">
                  <c:v>1258</c:v>
                </c:pt>
                <c:pt idx="2">
                  <c:v>1258</c:v>
                </c:pt>
                <c:pt idx="3">
                  <c:v>1258</c:v>
                </c:pt>
                <c:pt idx="4">
                  <c:v>1273</c:v>
                </c:pt>
                <c:pt idx="5">
                  <c:v>1375</c:v>
                </c:pt>
                <c:pt idx="6">
                  <c:v>1411</c:v>
                </c:pt>
                <c:pt idx="7">
                  <c:v>1411</c:v>
                </c:pt>
                <c:pt idx="8">
                  <c:v>1472</c:v>
                </c:pt>
                <c:pt idx="9">
                  <c:v>1451</c:v>
                </c:pt>
                <c:pt idx="10">
                  <c:v>1303</c:v>
                </c:pt>
                <c:pt idx="11">
                  <c:v>1201</c:v>
                </c:pt>
                <c:pt idx="12">
                  <c:v>1201</c:v>
                </c:pt>
                <c:pt idx="13">
                  <c:v>1201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128E-4F3A-A76F-7BE757E5E4C3}"/>
            </c:ext>
          </c:extLst>
        </c:ser>
        <c:ser>
          <c:idx val="1"/>
          <c:order val="1"/>
          <c:tx>
            <c:v>Valparaíso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(ESTADÍSTICA!$O$24,ESTADÍSTICA!$Q$24,ESTADÍSTICA!$S$24,ESTADÍSTICA!$U$24,ESTADÍSTICA!$W$24,ESTADÍSTICA!$Y$24,ESTADÍSTICA!$AA$24,ESTADÍSTICA!$AC$24,ESTADÍSTICA!$AE$24,ESTADÍSTICA!$AG$24,ESTADÍSTICA!$AI$24,ESTADÍSTICA!$AK$24,ESTADÍSTICA!$AM$24,ESTADÍSTICA!$AO$24)</c:f>
              <c:numCache>
                <c:formatCode>#,##0</c:formatCode>
                <c:ptCount val="14"/>
                <c:pt idx="0">
                  <c:v>1045</c:v>
                </c:pt>
                <c:pt idx="1">
                  <c:v>1253</c:v>
                </c:pt>
                <c:pt idx="2">
                  <c:v>1253</c:v>
                </c:pt>
                <c:pt idx="3">
                  <c:v>1378</c:v>
                </c:pt>
                <c:pt idx="4">
                  <c:v>1378</c:v>
                </c:pt>
                <c:pt idx="5">
                  <c:v>1589</c:v>
                </c:pt>
                <c:pt idx="6">
                  <c:v>1548</c:v>
                </c:pt>
                <c:pt idx="7">
                  <c:v>1568</c:v>
                </c:pt>
                <c:pt idx="8">
                  <c:v>1596</c:v>
                </c:pt>
                <c:pt idx="9">
                  <c:v>1596</c:v>
                </c:pt>
                <c:pt idx="10">
                  <c:v>1596</c:v>
                </c:pt>
                <c:pt idx="11">
                  <c:v>1606</c:v>
                </c:pt>
                <c:pt idx="12">
                  <c:v>1567</c:v>
                </c:pt>
                <c:pt idx="13">
                  <c:v>1567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128E-4F3A-A76F-7BE757E5E4C3}"/>
            </c:ext>
          </c:extLst>
        </c:ser>
        <c:ser>
          <c:idx val="2"/>
          <c:order val="2"/>
          <c:tx>
            <c:v>R.M.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(ESTADÍSTICA!$O$35,ESTADÍSTICA!$Q$35,ESTADÍSTICA!$S$35,ESTADÍSTICA!$U$35,ESTADÍSTICA!$W$35,ESTADÍSTICA!$Y$35,ESTADÍSTICA!$AA$35,ESTADÍSTICA!$AC$35,ESTADÍSTICA!$AE$35,ESTADÍSTICA!$AG$35,ESTADÍSTICA!$AI$35,ESTADÍSTICA!$AK$35,ESTADÍSTICA!$AM$35,ESTADÍSTICA!$AO$35)</c:f>
              <c:numCache>
                <c:formatCode>#,##0</c:formatCode>
                <c:ptCount val="14"/>
                <c:pt idx="0">
                  <c:v>4882</c:v>
                </c:pt>
                <c:pt idx="1">
                  <c:v>5163</c:v>
                </c:pt>
                <c:pt idx="2">
                  <c:v>5317</c:v>
                </c:pt>
                <c:pt idx="3">
                  <c:v>6395</c:v>
                </c:pt>
                <c:pt idx="4">
                  <c:v>6646</c:v>
                </c:pt>
                <c:pt idx="5">
                  <c:v>6733</c:v>
                </c:pt>
                <c:pt idx="6">
                  <c:v>6180</c:v>
                </c:pt>
                <c:pt idx="7">
                  <c:v>5692</c:v>
                </c:pt>
                <c:pt idx="8">
                  <c:v>5553</c:v>
                </c:pt>
                <c:pt idx="9">
                  <c:v>5466</c:v>
                </c:pt>
                <c:pt idx="10">
                  <c:v>5584</c:v>
                </c:pt>
                <c:pt idx="11">
                  <c:v>5803</c:v>
                </c:pt>
                <c:pt idx="12">
                  <c:v>5674</c:v>
                </c:pt>
                <c:pt idx="13">
                  <c:v>5582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128E-4F3A-A76F-7BE757E5E4C3}"/>
            </c:ext>
          </c:extLst>
        </c:ser>
        <c:ser>
          <c:idx val="3"/>
          <c:order val="3"/>
          <c:tx>
            <c:v>O'Higgins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(ESTADÍSTICA!$O$54,ESTADÍSTICA!$Q$54,ESTADÍSTICA!$S$54,ESTADÍSTICA!$U$54,ESTADÍSTICA!$W$54,ESTADÍSTICA!$Y$54,ESTADÍSTICA!$AA$54,ESTADÍSTICA!$AC$54,ESTADÍSTICA!$AE$54,ESTADÍSTICA!$AG$54,ESTADÍSTICA!$AI$54,ESTADÍSTICA!$AK$54,ESTADÍSTICA!$AM$54,ESTADÍSTICA!$AO$54)</c:f>
              <c:numCache>
                <c:formatCode>#,##0</c:formatCode>
                <c:ptCount val="14"/>
                <c:pt idx="0">
                  <c:v>2090</c:v>
                </c:pt>
                <c:pt idx="1">
                  <c:v>2161</c:v>
                </c:pt>
                <c:pt idx="2">
                  <c:v>2161</c:v>
                </c:pt>
                <c:pt idx="3">
                  <c:v>2005</c:v>
                </c:pt>
                <c:pt idx="4">
                  <c:v>2269</c:v>
                </c:pt>
                <c:pt idx="5">
                  <c:v>2388</c:v>
                </c:pt>
                <c:pt idx="6">
                  <c:v>2616</c:v>
                </c:pt>
                <c:pt idx="7">
                  <c:v>2789</c:v>
                </c:pt>
                <c:pt idx="8">
                  <c:v>2865</c:v>
                </c:pt>
                <c:pt idx="9">
                  <c:v>3158</c:v>
                </c:pt>
                <c:pt idx="10">
                  <c:v>3461</c:v>
                </c:pt>
                <c:pt idx="11">
                  <c:v>3463</c:v>
                </c:pt>
                <c:pt idx="12">
                  <c:v>3439</c:v>
                </c:pt>
                <c:pt idx="13">
                  <c:v>3408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128E-4F3A-A76F-7BE757E5E4C3}"/>
            </c:ext>
          </c:extLst>
        </c:ser>
        <c:ser>
          <c:idx val="4"/>
          <c:order val="4"/>
          <c:tx>
            <c:strRef>
              <c:f>ESTADÍSTICA!$A$79</c:f>
              <c:strCache>
                <c:ptCount val="1"/>
                <c:pt idx="0">
                  <c:v>Maule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(ESTADÍSTICA!$O$79,ESTADÍSTICA!$Q$79,ESTADÍSTICA!$S$79,ESTADÍSTICA!$U$79,ESTADÍSTICA!$W$79,ESTADÍSTICA!$Y$79,ESTADÍSTICA!$AA$79,ESTADÍSTICA!$AC$79,ESTADÍSTICA!$AE$79,ESTADÍSTICA!$AG$79,ESTADÍSTICA!$AI$79,ESTADÍSTICA!$AK$79,ESTADÍSTICA!$AM$79,ESTADÍSTICA!$AO$79)</c:f>
              <c:numCache>
                <c:formatCode>#,##0</c:formatCode>
                <c:ptCount val="14"/>
                <c:pt idx="0">
                  <c:v>1898</c:v>
                </c:pt>
                <c:pt idx="1">
                  <c:v>2109</c:v>
                </c:pt>
                <c:pt idx="2">
                  <c:v>2214</c:v>
                </c:pt>
                <c:pt idx="3">
                  <c:v>3866</c:v>
                </c:pt>
                <c:pt idx="4">
                  <c:v>5264</c:v>
                </c:pt>
                <c:pt idx="5">
                  <c:v>6556</c:v>
                </c:pt>
                <c:pt idx="6">
                  <c:v>10107</c:v>
                </c:pt>
                <c:pt idx="7">
                  <c:v>13465</c:v>
                </c:pt>
                <c:pt idx="8">
                  <c:v>17485</c:v>
                </c:pt>
                <c:pt idx="9">
                  <c:v>18904</c:v>
                </c:pt>
                <c:pt idx="10">
                  <c:v>19812</c:v>
                </c:pt>
                <c:pt idx="11">
                  <c:v>20194</c:v>
                </c:pt>
                <c:pt idx="12">
                  <c:v>20575</c:v>
                </c:pt>
                <c:pt idx="13">
                  <c:v>21238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8E-4F3A-A76F-7BE757E5E4C3}"/>
            </c:ext>
          </c:extLst>
        </c:ser>
        <c:ser>
          <c:idx val="11"/>
          <c:order val="5"/>
          <c:tx>
            <c:strRef>
              <c:f>ESTADÍSTICA!$A$93</c:f>
              <c:strCache>
                <c:ptCount val="1"/>
                <c:pt idx="0">
                  <c:v>Ñuble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(ESTADÍSTICA!$O$93,ESTADÍSTICA!$Q$93,ESTADÍSTICA!$S$93,ESTADÍSTICA!$U$93,ESTADÍSTICA!$W$93,ESTADÍSTICA!$Y$93,ESTADÍSTICA!$AA$93,ESTADÍSTICA!$AC$93,ESTADÍSTICA!$AE$93,ESTADÍSTICA!$AG$93,ESTADÍSTICA!$AI$93,ESTADÍSTICA!$AK$93,ESTADÍSTICA!$AM$93,ESTADÍSTICA!$AO$93)</c:f>
              <c:numCache>
                <c:formatCode>#,##0</c:formatCode>
                <c:ptCount val="14"/>
                <c:pt idx="0">
                  <c:v>5618</c:v>
                </c:pt>
                <c:pt idx="1">
                  <c:v>5984</c:v>
                </c:pt>
                <c:pt idx="2">
                  <c:v>6466</c:v>
                </c:pt>
                <c:pt idx="3">
                  <c:v>9536</c:v>
                </c:pt>
                <c:pt idx="4">
                  <c:v>10122</c:v>
                </c:pt>
                <c:pt idx="5">
                  <c:v>11181</c:v>
                </c:pt>
                <c:pt idx="6">
                  <c:v>13988</c:v>
                </c:pt>
                <c:pt idx="7">
                  <c:v>15195</c:v>
                </c:pt>
                <c:pt idx="8">
                  <c:v>17783</c:v>
                </c:pt>
                <c:pt idx="9">
                  <c:v>18656</c:v>
                </c:pt>
                <c:pt idx="10">
                  <c:v>19308</c:v>
                </c:pt>
                <c:pt idx="11">
                  <c:v>20065</c:v>
                </c:pt>
                <c:pt idx="12">
                  <c:v>20206</c:v>
                </c:pt>
                <c:pt idx="13">
                  <c:v>20452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ESTADÍSTICA!$A$108</c:f>
              <c:strCache>
                <c:ptCount val="1"/>
                <c:pt idx="0">
                  <c:v>Biobío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$108,ESTADÍSTICA!$Q$108,ESTADÍSTICA!$S$108,ESTADÍSTICA!$U$108,ESTADÍSTICA!$W$108,ESTADÍSTICA!$Y$108,ESTADÍSTICA!$AA$108,ESTADÍSTICA!$AC$108,ESTADÍSTICA!$AE$108,ESTADÍSTICA!$AG$108,ESTADÍSTICA!$AI$108,ESTADÍSTICA!$AK$108,ESTADÍSTICA!$AM$108,ESTADÍSTICA!$AO$108)</c:f>
              <c:numCache>
                <c:formatCode>#,##0</c:formatCode>
                <c:ptCount val="14"/>
                <c:pt idx="0">
                  <c:v>4571</c:v>
                </c:pt>
                <c:pt idx="1">
                  <c:v>4725</c:v>
                </c:pt>
                <c:pt idx="2">
                  <c:v>4949</c:v>
                </c:pt>
                <c:pt idx="3">
                  <c:v>8179</c:v>
                </c:pt>
                <c:pt idx="4">
                  <c:v>9406</c:v>
                </c:pt>
                <c:pt idx="5">
                  <c:v>9899</c:v>
                </c:pt>
                <c:pt idx="6">
                  <c:v>13604</c:v>
                </c:pt>
                <c:pt idx="7">
                  <c:v>14961</c:v>
                </c:pt>
                <c:pt idx="8">
                  <c:v>17218</c:v>
                </c:pt>
                <c:pt idx="9">
                  <c:v>18535</c:v>
                </c:pt>
                <c:pt idx="10">
                  <c:v>18908</c:v>
                </c:pt>
                <c:pt idx="11">
                  <c:v>19666</c:v>
                </c:pt>
                <c:pt idx="12">
                  <c:v>20956</c:v>
                </c:pt>
                <c:pt idx="13">
                  <c:v>22022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8E-4F3A-A76F-7BE757E5E4C3}"/>
            </c:ext>
          </c:extLst>
        </c:ser>
        <c:ser>
          <c:idx val="6"/>
          <c:order val="7"/>
          <c:tx>
            <c:strRef>
              <c:f>ESTADÍSTICA!$A$130</c:f>
              <c:strCache>
                <c:ptCount val="1"/>
                <c:pt idx="0">
                  <c:v>La Araucanía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$130,ESTADÍSTICA!$Q$130,ESTADÍSTICA!$S$130,ESTADÍSTICA!$U$130,ESTADÍSTICA!$W$130,ESTADÍSTICA!$Y$130,ESTADÍSTICA!$AA$130,ESTADÍSTICA!$AC$130,ESTADÍSTICA!$AE$130,ESTADÍSTICA!$AG$130,ESTADÍSTICA!$AI$130,ESTADÍSTICA!$AK$130,ESTADÍSTICA!$AM$130,ESTADÍSTICA!$AO$130)</c:f>
              <c:numCache>
                <c:formatCode>#,##0</c:formatCode>
                <c:ptCount val="14"/>
                <c:pt idx="0">
                  <c:v>2635</c:v>
                </c:pt>
                <c:pt idx="1">
                  <c:v>2795</c:v>
                </c:pt>
                <c:pt idx="2">
                  <c:v>3318</c:v>
                </c:pt>
                <c:pt idx="3">
                  <c:v>4863</c:v>
                </c:pt>
                <c:pt idx="4">
                  <c:v>5643</c:v>
                </c:pt>
                <c:pt idx="5">
                  <c:v>6207</c:v>
                </c:pt>
                <c:pt idx="6">
                  <c:v>6980</c:v>
                </c:pt>
                <c:pt idx="7">
                  <c:v>7997</c:v>
                </c:pt>
                <c:pt idx="8">
                  <c:v>9300</c:v>
                </c:pt>
                <c:pt idx="9">
                  <c:v>10825</c:v>
                </c:pt>
                <c:pt idx="10">
                  <c:v>10898</c:v>
                </c:pt>
                <c:pt idx="11">
                  <c:v>11275</c:v>
                </c:pt>
                <c:pt idx="12">
                  <c:v>11514</c:v>
                </c:pt>
                <c:pt idx="13">
                  <c:v>11740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28E-4F3A-A76F-7BE757E5E4C3}"/>
            </c:ext>
          </c:extLst>
        </c:ser>
        <c:ser>
          <c:idx val="7"/>
          <c:order val="8"/>
          <c:tx>
            <c:v>Los Ríos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$138,ESTADÍSTICA!$Q$138,ESTADÍSTICA!$S$138,ESTADÍSTICA!$U$138,ESTADÍSTICA!$W$138,ESTADÍSTICA!$Y$138,ESTADÍSTICA!$AA$138,ESTADÍSTICA!$AC$138,ESTADÍSTICA!$AE$138,ESTADÍSTICA!$AG$138,ESTADÍSTICA!$AI$138,ESTADÍSTICA!$AK$138,ESTADÍSTICA!$AM$138,ESTADÍSTICA!$AO$138)</c:f>
              <c:numCache>
                <c:formatCode>#,##0</c:formatCode>
                <c:ptCount val="14"/>
                <c:pt idx="0">
                  <c:v>476</c:v>
                </c:pt>
                <c:pt idx="1">
                  <c:v>1059</c:v>
                </c:pt>
                <c:pt idx="2">
                  <c:v>1195</c:v>
                </c:pt>
                <c:pt idx="3">
                  <c:v>1465</c:v>
                </c:pt>
                <c:pt idx="4">
                  <c:v>2631</c:v>
                </c:pt>
                <c:pt idx="5">
                  <c:v>2866</c:v>
                </c:pt>
                <c:pt idx="6">
                  <c:v>3400</c:v>
                </c:pt>
                <c:pt idx="7">
                  <c:v>3450</c:v>
                </c:pt>
                <c:pt idx="8">
                  <c:v>3920</c:v>
                </c:pt>
                <c:pt idx="9">
                  <c:v>4149</c:v>
                </c:pt>
                <c:pt idx="10">
                  <c:v>4289</c:v>
                </c:pt>
                <c:pt idx="11">
                  <c:v>4956</c:v>
                </c:pt>
                <c:pt idx="12">
                  <c:v>5275</c:v>
                </c:pt>
                <c:pt idx="13">
                  <c:v>5870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128E-4F3A-A76F-7BE757E5E4C3}"/>
            </c:ext>
          </c:extLst>
        </c:ser>
        <c:ser>
          <c:idx val="8"/>
          <c:order val="9"/>
          <c:tx>
            <c:v>Los Lagos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$150,ESTADÍSTICA!$Q$150,ESTADÍSTICA!$S$150,ESTADÍSTICA!$U$150,ESTADÍSTICA!$W$150,ESTADÍSTICA!$Y$150,ESTADÍSTICA!$AA$150,ESTADÍSTICA!$AC$150,ESTADÍSTICA!$AE$150,ESTADÍSTICA!$AG$150,ESTADÍSTICA!$AI$150,ESTADÍSTICA!$AK$150,ESTADÍSTICA!$AM$150,ESTADÍSTICA!$AO$150)</c:f>
              <c:numCache>
                <c:formatCode>#,##0</c:formatCode>
                <c:ptCount val="14"/>
                <c:pt idx="0">
                  <c:v>55</c:v>
                </c:pt>
                <c:pt idx="1">
                  <c:v>140</c:v>
                </c:pt>
                <c:pt idx="2">
                  <c:v>342</c:v>
                </c:pt>
                <c:pt idx="3">
                  <c:v>456</c:v>
                </c:pt>
                <c:pt idx="4">
                  <c:v>573</c:v>
                </c:pt>
                <c:pt idx="5">
                  <c:v>780</c:v>
                </c:pt>
                <c:pt idx="6">
                  <c:v>828</c:v>
                </c:pt>
                <c:pt idx="7">
                  <c:v>1010</c:v>
                </c:pt>
                <c:pt idx="8">
                  <c:v>1093</c:v>
                </c:pt>
                <c:pt idx="9">
                  <c:v>1554</c:v>
                </c:pt>
                <c:pt idx="10">
                  <c:v>1930</c:v>
                </c:pt>
                <c:pt idx="11">
                  <c:v>2198</c:v>
                </c:pt>
                <c:pt idx="12">
                  <c:v>2650</c:v>
                </c:pt>
                <c:pt idx="13">
                  <c:v>2710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8-128E-4F3A-A76F-7BE757E5E4C3}"/>
            </c:ext>
          </c:extLst>
        </c:ser>
        <c:ser>
          <c:idx val="9"/>
          <c:order val="10"/>
          <c:tx>
            <c:v>Aysén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$153,ESTADÍSTICA!$Q$153,ESTADÍSTICA!$S$153,ESTADÍSTICA!$U$153,ESTADÍSTICA!$W$153,ESTADÍSTICA!$Y$153,ESTADÍSTICA!$AA$153,ESTADÍSTICA!$AC$153,ESTADÍSTICA!$AE$153,ESTADÍSTICA!$AG$153,ESTADÍSTICA!$AI$153,ESTADÍSTICA!$AK$153,ESTADÍSTICA!$AM$153,ESTADÍSTICA!$AO$153)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  <c:pt idx="10">
                  <c:v>128</c:v>
                </c:pt>
                <c:pt idx="11">
                  <c:v>380</c:v>
                </c:pt>
                <c:pt idx="12">
                  <c:v>531</c:v>
                </c:pt>
                <c:pt idx="13">
                  <c:v>531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9-128E-4F3A-A76F-7BE757E5E4C3}"/>
            </c:ext>
          </c:extLst>
        </c:ser>
        <c:ser>
          <c:idx val="10"/>
          <c:order val="11"/>
          <c:tx>
            <c:v>Magallanes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$157,ESTADÍSTICA!$Q$157,ESTADÍSTICA!$S$157,ESTADÍSTICA!$U$157,ESTADÍSTICA!$W$157,ESTADÍSTICA!$Y$157,ESTADÍSTICA!$AA$157,ESTADÍSTICA!$AC$157,ESTADÍSTICA!$AE$157,ESTADÍSTICA!$AG$157,ESTADÍSTICA!$AI$157,ESTADÍSTICA!$AK$157,ESTADÍSTICA!$AM$157,ESTADÍSTICA!$AO$157)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</c:v>
                </c:pt>
                <c:pt idx="10">
                  <c:v>51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128E-4F3A-A76F-7BE757E5E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852920"/>
        <c:axId val="708853312"/>
        <c:extLst xmlns:c16r2="http://schemas.microsoft.com/office/drawing/2015/06/chart"/>
      </c:lineChart>
      <c:catAx>
        <c:axId val="70885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53312"/>
        <c:crosses val="autoZero"/>
        <c:auto val="1"/>
        <c:lblAlgn val="ctr"/>
        <c:lblOffset val="100"/>
        <c:noMultiLvlLbl val="0"/>
      </c:catAx>
      <c:valAx>
        <c:axId val="708853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asociada (ha)</a:t>
                </a:r>
                <a:endParaRPr lang="es-419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5292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37467883628647"/>
          <c:y val="0.19697852193111198"/>
          <c:w val="9.8101831230827677E-2"/>
          <c:h val="0.43760435942265724"/>
        </c:manualLayout>
      </c:layout>
      <c:overlay val="1"/>
      <c:spPr>
        <a:solidFill>
          <a:schemeClr val="bg1"/>
        </a:solidFill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Coquimbo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(ESTADÍSTICA!$N$15,ESTADÍSTICA!$P$15,ESTADÍSTICA!$R$15,ESTADÍSTICA!$T$15,ESTADÍSTICA!$V$15,ESTADÍSTICA!$X$15,ESTADÍSTICA!$Z$15,ESTADÍSTICA!$AB$15,ESTADÍSTICA!$AD$15,ESTADÍSTICA!$AF$15,ESTADÍSTICA!$AH$15,ESTADÍSTICA!$AJ$15,ESTADÍSTICA!$AL$15,ESTADÍSTICA!$AN$15)</c:f>
              <c:numCache>
                <c:formatCode>#,##0</c:formatCode>
                <c:ptCount val="14"/>
                <c:pt idx="0">
                  <c:v>12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D5-445D-838F-C4DCAA1E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66640"/>
        <c:axId val="708870560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(ESTADÍSTICA!$O$15,ESTADÍSTICA!$Q$15,ESTADÍSTICA!$S$15,ESTADÍSTICA!$U$15,ESTADÍSTICA!$W$15,ESTADÍSTICA!$Y$15,ESTADÍSTICA!$AA$15,ESTADÍSTICA!$AC$15,ESTADÍSTICA!$AE$15,ESTADÍSTICA!$AG$15,ESTADÍSTICA!$AI$15,ESTADÍSTICA!$AK$15,ESTADÍSTICA!$AM$15,ESTADÍSTICA!$AO$15)</c:f>
              <c:numCache>
                <c:formatCode>#,##0</c:formatCode>
                <c:ptCount val="14"/>
                <c:pt idx="0">
                  <c:v>874</c:v>
                </c:pt>
                <c:pt idx="1">
                  <c:v>1258</c:v>
                </c:pt>
                <c:pt idx="2">
                  <c:v>1258</c:v>
                </c:pt>
                <c:pt idx="3">
                  <c:v>1258</c:v>
                </c:pt>
                <c:pt idx="4">
                  <c:v>1273</c:v>
                </c:pt>
                <c:pt idx="5">
                  <c:v>1375</c:v>
                </c:pt>
                <c:pt idx="6">
                  <c:v>1411</c:v>
                </c:pt>
                <c:pt idx="7">
                  <c:v>1411</c:v>
                </c:pt>
                <c:pt idx="8">
                  <c:v>1472</c:v>
                </c:pt>
                <c:pt idx="9">
                  <c:v>1451</c:v>
                </c:pt>
                <c:pt idx="10">
                  <c:v>1303</c:v>
                </c:pt>
                <c:pt idx="11">
                  <c:v>1201</c:v>
                </c:pt>
                <c:pt idx="12">
                  <c:v>1201</c:v>
                </c:pt>
                <c:pt idx="13">
                  <c:v>1201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5-445D-838F-C4DCAA1E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68992"/>
        <c:axId val="708867424"/>
      </c:lineChart>
      <c:catAx>
        <c:axId val="70886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70560"/>
        <c:crosses val="autoZero"/>
        <c:auto val="1"/>
        <c:lblAlgn val="ctr"/>
        <c:lblOffset val="100"/>
        <c:noMultiLvlLbl val="0"/>
      </c:catAx>
      <c:valAx>
        <c:axId val="708870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66640"/>
        <c:crosses val="autoZero"/>
        <c:crossBetween val="between"/>
        <c:majorUnit val="5"/>
        <c:minorUnit val="1"/>
      </c:valAx>
      <c:valAx>
        <c:axId val="708867424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68992"/>
        <c:crosses val="max"/>
        <c:crossBetween val="between"/>
      </c:valAx>
      <c:catAx>
        <c:axId val="7088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6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Valparaíso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(ESTADÍSTICA!$N$24,ESTADÍSTICA!$P$24,ESTADÍSTICA!$R$24,ESTADÍSTICA!$T$24,ESTADÍSTICA!$V$24,ESTADÍSTICA!$X$24,ESTADÍSTICA!$Z$24,ESTADÍSTICA!$AB$24,ESTADÍSTICA!$AD$24,ESTADÍSTICA!$AF$24,ESTADÍSTICA!$AH$24,ESTADÍSTICA!$AJ$24,ESTADÍSTICA!$AL$24,ESTADÍSTICA!$AN$24)</c:f>
              <c:numCache>
                <c:formatCode>#,##0</c:formatCode>
                <c:ptCount val="14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93-4820-BD2A-4A90BF08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76832"/>
        <c:axId val="708886240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(ESTADÍSTICA!$O$24,ESTADÍSTICA!$Q$24,ESTADÍSTICA!$S$24,ESTADÍSTICA!$U$24,ESTADÍSTICA!$W$24,ESTADÍSTICA!$Y$24,ESTADÍSTICA!$AA$24,ESTADÍSTICA!$AC$24,ESTADÍSTICA!$AE$24,ESTADÍSTICA!$AG$24,ESTADÍSTICA!$AI$24,ESTADÍSTICA!$AK$24,ESTADÍSTICA!$AM$24,ESTADÍSTICA!$AO$24)</c:f>
              <c:numCache>
                <c:formatCode>#,##0</c:formatCode>
                <c:ptCount val="14"/>
                <c:pt idx="0">
                  <c:v>1045</c:v>
                </c:pt>
                <c:pt idx="1">
                  <c:v>1253</c:v>
                </c:pt>
                <c:pt idx="2">
                  <c:v>1253</c:v>
                </c:pt>
                <c:pt idx="3">
                  <c:v>1378</c:v>
                </c:pt>
                <c:pt idx="4">
                  <c:v>1378</c:v>
                </c:pt>
                <c:pt idx="5">
                  <c:v>1589</c:v>
                </c:pt>
                <c:pt idx="6">
                  <c:v>1548</c:v>
                </c:pt>
                <c:pt idx="7">
                  <c:v>1568</c:v>
                </c:pt>
                <c:pt idx="8">
                  <c:v>1596</c:v>
                </c:pt>
                <c:pt idx="9">
                  <c:v>1596</c:v>
                </c:pt>
                <c:pt idx="10">
                  <c:v>1596</c:v>
                </c:pt>
                <c:pt idx="11">
                  <c:v>1606</c:v>
                </c:pt>
                <c:pt idx="12">
                  <c:v>1567</c:v>
                </c:pt>
                <c:pt idx="13">
                  <c:v>1567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93-4820-BD2A-4A90BF08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77616"/>
        <c:axId val="708876048"/>
      </c:lineChart>
      <c:catAx>
        <c:axId val="70887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86240"/>
        <c:crosses val="autoZero"/>
        <c:auto val="1"/>
        <c:lblAlgn val="ctr"/>
        <c:lblOffset val="100"/>
        <c:noMultiLvlLbl val="0"/>
      </c:catAx>
      <c:valAx>
        <c:axId val="708886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76832"/>
        <c:crosses val="autoZero"/>
        <c:crossBetween val="between"/>
        <c:majorUnit val="5"/>
        <c:minorUnit val="1"/>
      </c:valAx>
      <c:valAx>
        <c:axId val="708876048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77616"/>
        <c:crosses val="max"/>
        <c:crossBetween val="between"/>
      </c:valAx>
      <c:catAx>
        <c:axId val="70887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7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Metropolitana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(ESTADÍSTICA!$N$35,ESTADÍSTICA!$P$35,ESTADÍSTICA!$R$35,ESTADÍSTICA!$T$35,ESTADÍSTICA!$V$35,ESTADÍSTICA!$X$35,ESTADÍSTICA!$Z$35,ESTADÍSTICA!$AB$35,ESTADÍSTICA!$AD$35,ESTADÍSTICA!$AF$35,ESTADÍSTICA!$AH$35,ESTADÍSTICA!$AJ$35,ESTADÍSTICA!$AL$35,ESTADÍSTICA!$AN$35)</c:f>
              <c:numCache>
                <c:formatCode>#,##0</c:formatCode>
                <c:ptCount val="14"/>
                <c:pt idx="0">
                  <c:v>79</c:v>
                </c:pt>
                <c:pt idx="1">
                  <c:v>88</c:v>
                </c:pt>
                <c:pt idx="2">
                  <c:v>92</c:v>
                </c:pt>
                <c:pt idx="3">
                  <c:v>127</c:v>
                </c:pt>
                <c:pt idx="4">
                  <c:v>134</c:v>
                </c:pt>
                <c:pt idx="5">
                  <c:v>136</c:v>
                </c:pt>
                <c:pt idx="6">
                  <c:v>130</c:v>
                </c:pt>
                <c:pt idx="7">
                  <c:v>126</c:v>
                </c:pt>
                <c:pt idx="8">
                  <c:v>127</c:v>
                </c:pt>
                <c:pt idx="9">
                  <c:v>130</c:v>
                </c:pt>
                <c:pt idx="10">
                  <c:v>134</c:v>
                </c:pt>
                <c:pt idx="11">
                  <c:v>141</c:v>
                </c:pt>
                <c:pt idx="12">
                  <c:v>140</c:v>
                </c:pt>
                <c:pt idx="13">
                  <c:v>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80-4D00-8281-B3A962CA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85456"/>
        <c:axId val="708874872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(ESTADÍSTICA!$O$35,ESTADÍSTICA!$Q$35,ESTADÍSTICA!$S$35,ESTADÍSTICA!$U$35,ESTADÍSTICA!$W$35,ESTADÍSTICA!$Y$35,ESTADÍSTICA!$AA$35,ESTADÍSTICA!$AC$35,ESTADÍSTICA!$AE$35,ESTADÍSTICA!$AG$35,ESTADÍSTICA!$AI$35,ESTADÍSTICA!$AK$35,ESTADÍSTICA!$AM$35,ESTADÍSTICA!$AO$35)</c:f>
              <c:numCache>
                <c:formatCode>#,##0</c:formatCode>
                <c:ptCount val="14"/>
                <c:pt idx="0">
                  <c:v>4882</c:v>
                </c:pt>
                <c:pt idx="1">
                  <c:v>5163</c:v>
                </c:pt>
                <c:pt idx="2">
                  <c:v>5317</c:v>
                </c:pt>
                <c:pt idx="3">
                  <c:v>6395</c:v>
                </c:pt>
                <c:pt idx="4">
                  <c:v>6646</c:v>
                </c:pt>
                <c:pt idx="5">
                  <c:v>6733</c:v>
                </c:pt>
                <c:pt idx="6">
                  <c:v>6180</c:v>
                </c:pt>
                <c:pt idx="7">
                  <c:v>5692</c:v>
                </c:pt>
                <c:pt idx="8">
                  <c:v>5553</c:v>
                </c:pt>
                <c:pt idx="9">
                  <c:v>5466</c:v>
                </c:pt>
                <c:pt idx="10">
                  <c:v>5584</c:v>
                </c:pt>
                <c:pt idx="11">
                  <c:v>5803</c:v>
                </c:pt>
                <c:pt idx="12">
                  <c:v>5674</c:v>
                </c:pt>
                <c:pt idx="13">
                  <c:v>5582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80-4D00-8281-B3A962CA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78400"/>
        <c:axId val="708878008"/>
      </c:lineChart>
      <c:catAx>
        <c:axId val="70888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74872"/>
        <c:crosses val="autoZero"/>
        <c:auto val="1"/>
        <c:lblAlgn val="ctr"/>
        <c:lblOffset val="100"/>
        <c:noMultiLvlLbl val="0"/>
      </c:catAx>
      <c:valAx>
        <c:axId val="70887487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85456"/>
        <c:crosses val="autoZero"/>
        <c:crossBetween val="between"/>
        <c:majorUnit val="20"/>
        <c:minorUnit val="1"/>
      </c:valAx>
      <c:valAx>
        <c:axId val="7088780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78400"/>
        <c:crosses val="max"/>
        <c:crossBetween val="between"/>
      </c:valAx>
      <c:catAx>
        <c:axId val="70887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7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O'Higgins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(ESTADÍSTICA!$N$54,ESTADÍSTICA!$P$54,ESTADÍSTICA!$R$54,ESTADÍSTICA!$T$54,ESTADÍSTICA!$V$54,ESTADÍSTICA!$X$54,ESTADÍSTICA!$Z$54,ESTADÍSTICA!$AB$54,ESTADÍSTICA!$AD$54,ESTADÍSTICA!$AF$54,ESTADÍSTICA!$AH$54,ESTADÍSTICA!$AJ$54,ESTADÍSTICA!$AL$54,ESTADÍSTICA!$AN$54)</c:f>
              <c:numCache>
                <c:formatCode>#,##0</c:formatCode>
                <c:ptCount val="14"/>
                <c:pt idx="0">
                  <c:v>24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43</c:v>
                </c:pt>
                <c:pt idx="9">
                  <c:v>51</c:v>
                </c:pt>
                <c:pt idx="10">
                  <c:v>55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72-4FBE-B25E-AF09DC6A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82712"/>
        <c:axId val="70889329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(ESTADÍSTICA!$O$54,ESTADÍSTICA!$Q$54,ESTADÍSTICA!$S$54,ESTADÍSTICA!$U$54,ESTADÍSTICA!$W$54,ESTADÍSTICA!$Y$54,ESTADÍSTICA!$AA$54,ESTADÍSTICA!$AC$54,ESTADÍSTICA!$AE$54,ESTADÍSTICA!$AG$54,ESTADÍSTICA!$AI$54,ESTADÍSTICA!$AK$54,ESTADÍSTICA!$AM$54,ESTADÍSTICA!$AO$54)</c:f>
              <c:numCache>
                <c:formatCode>#,##0</c:formatCode>
                <c:ptCount val="14"/>
                <c:pt idx="0">
                  <c:v>2090</c:v>
                </c:pt>
                <c:pt idx="1">
                  <c:v>2161</c:v>
                </c:pt>
                <c:pt idx="2">
                  <c:v>2161</c:v>
                </c:pt>
                <c:pt idx="3">
                  <c:v>2005</c:v>
                </c:pt>
                <c:pt idx="4">
                  <c:v>2269</c:v>
                </c:pt>
                <c:pt idx="5">
                  <c:v>2388</c:v>
                </c:pt>
                <c:pt idx="6">
                  <c:v>2616</c:v>
                </c:pt>
                <c:pt idx="7">
                  <c:v>2789</c:v>
                </c:pt>
                <c:pt idx="8">
                  <c:v>2865</c:v>
                </c:pt>
                <c:pt idx="9">
                  <c:v>3158</c:v>
                </c:pt>
                <c:pt idx="10">
                  <c:v>3461</c:v>
                </c:pt>
                <c:pt idx="11">
                  <c:v>3463</c:v>
                </c:pt>
                <c:pt idx="12">
                  <c:v>3439</c:v>
                </c:pt>
                <c:pt idx="13">
                  <c:v>3408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72-4FBE-B25E-AF09DC6A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0944"/>
        <c:axId val="708892120"/>
      </c:lineChart>
      <c:catAx>
        <c:axId val="708882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3296"/>
        <c:crosses val="autoZero"/>
        <c:auto val="1"/>
        <c:lblAlgn val="ctr"/>
        <c:lblOffset val="100"/>
        <c:noMultiLvlLbl val="0"/>
      </c:catAx>
      <c:valAx>
        <c:axId val="70889329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82712"/>
        <c:crosses val="autoZero"/>
        <c:crossBetween val="between"/>
        <c:majorUnit val="10"/>
        <c:minorUnit val="1"/>
      </c:valAx>
      <c:valAx>
        <c:axId val="708892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0944"/>
        <c:crosses val="max"/>
        <c:crossBetween val="between"/>
      </c:valAx>
      <c:catAx>
        <c:axId val="70889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92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del Maule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3.2020493115593983E-2"/>
                  <c:y val="4.548175602930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3855317797091019E-2"/>
                  <c:y val="0.107082487657913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(ESTADÍSTICA!$N$79,ESTADÍSTICA!$P$79,ESTADÍSTICA!$R$79,ESTADÍSTICA!$T$79,ESTADÍSTICA!$V$79,ESTADÍSTICA!$X$79,ESTADÍSTICA!$Z$79,ESTADÍSTICA!$AB$79,ESTADÍSTICA!$AD$79,ESTADÍSTICA!$AF$79,ESTADÍSTICA!$AH$79,ESTADÍSTICA!$AJ$79,ESTADÍSTICA!$AL$79,ESTADÍSTICA!$AN$79)</c:f>
              <c:numCache>
                <c:formatCode>#,##0</c:formatCode>
                <c:ptCount val="14"/>
                <c:pt idx="0">
                  <c:v>35</c:v>
                </c:pt>
                <c:pt idx="1">
                  <c:v>42</c:v>
                </c:pt>
                <c:pt idx="2">
                  <c:v>44</c:v>
                </c:pt>
                <c:pt idx="3">
                  <c:v>83</c:v>
                </c:pt>
                <c:pt idx="4">
                  <c:v>115</c:v>
                </c:pt>
                <c:pt idx="5">
                  <c:v>145</c:v>
                </c:pt>
                <c:pt idx="6">
                  <c:v>219</c:v>
                </c:pt>
                <c:pt idx="7">
                  <c:v>292</c:v>
                </c:pt>
                <c:pt idx="8">
                  <c:v>386</c:v>
                </c:pt>
                <c:pt idx="9">
                  <c:v>424</c:v>
                </c:pt>
                <c:pt idx="10">
                  <c:v>449</c:v>
                </c:pt>
                <c:pt idx="11">
                  <c:v>461</c:v>
                </c:pt>
                <c:pt idx="12">
                  <c:v>471</c:v>
                </c:pt>
                <c:pt idx="13">
                  <c:v>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93-44E0-A2AF-9D24F7F9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9176"/>
        <c:axId val="708892512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5.1232788984950553E-2"/>
                  <c:y val="-3.590664949681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3317827346509644E-3"/>
                  <c:y val="0.140375396952251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(ESTADÍSTICA!$N$3,ESTADÍSTICA!$P$3,ESTADÍSTICA!$R$3,ESTADÍSTICA!$T$3,ESTADÍSTICA!$V$3,ESTADÍSTICA!$X$3,ESTADÍSTICA!$Z$3,ESTADÍSTICA!$AB$3,ESTADÍSTICA!$AD$3,ESTADÍSTICA!$AF$3,ESTADÍSTICA!$AH$3,ESTADÍSTICA!$AJ$3,ESTADÍSTICA!$AL$3)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(ESTADÍSTICA!$O$79,ESTADÍSTICA!$Q$79,ESTADÍSTICA!$S$79,ESTADÍSTICA!$U$79,ESTADÍSTICA!$W$79,ESTADÍSTICA!$Y$79,ESTADÍSTICA!$AA$79,ESTADÍSTICA!$AC$79,ESTADÍSTICA!$AE$79,ESTADÍSTICA!$AG$79,ESTADÍSTICA!$AI$79,ESTADÍSTICA!$AK$79,ESTADÍSTICA!$AM$79,ESTADÍSTICA!$AO$79)</c:f>
              <c:numCache>
                <c:formatCode>#,##0</c:formatCode>
                <c:ptCount val="14"/>
                <c:pt idx="0">
                  <c:v>1898</c:v>
                </c:pt>
                <c:pt idx="1">
                  <c:v>2109</c:v>
                </c:pt>
                <c:pt idx="2">
                  <c:v>2214</c:v>
                </c:pt>
                <c:pt idx="3">
                  <c:v>3866</c:v>
                </c:pt>
                <c:pt idx="4">
                  <c:v>5264</c:v>
                </c:pt>
                <c:pt idx="5">
                  <c:v>6556</c:v>
                </c:pt>
                <c:pt idx="6">
                  <c:v>10107</c:v>
                </c:pt>
                <c:pt idx="7">
                  <c:v>13465</c:v>
                </c:pt>
                <c:pt idx="8">
                  <c:v>17485</c:v>
                </c:pt>
                <c:pt idx="9">
                  <c:v>18904</c:v>
                </c:pt>
                <c:pt idx="10">
                  <c:v>19812</c:v>
                </c:pt>
                <c:pt idx="11">
                  <c:v>20194</c:v>
                </c:pt>
                <c:pt idx="12">
                  <c:v>20575</c:v>
                </c:pt>
                <c:pt idx="13">
                  <c:v>21238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93-44E0-A2AF-9D24F7F9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6432"/>
        <c:axId val="708895648"/>
      </c:lineChart>
      <c:catAx>
        <c:axId val="708899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2512"/>
        <c:crosses val="autoZero"/>
        <c:auto val="1"/>
        <c:lblAlgn val="ctr"/>
        <c:lblOffset val="100"/>
        <c:noMultiLvlLbl val="0"/>
      </c:catAx>
      <c:valAx>
        <c:axId val="7088925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9176"/>
        <c:crosses val="autoZero"/>
        <c:crossBetween val="between"/>
        <c:majorUnit val="50"/>
        <c:minorUnit val="1"/>
      </c:valAx>
      <c:valAx>
        <c:axId val="7088956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6432"/>
        <c:crosses val="max"/>
        <c:crossBetween val="between"/>
        <c:majorUnit val="2000"/>
      </c:valAx>
      <c:catAx>
        <c:axId val="70889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95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Ñuble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(ESTADÍSTICA!$N$93,ESTADÍSTICA!$P$93,ESTADÍSTICA!$R$93,ESTADÍSTICA!$T$93,ESTADÍSTICA!$V$93,ESTADÍSTICA!$X$93,ESTADÍSTICA!$Z$93,ESTADÍSTICA!$AB$93,ESTADÍSTICA!$AD$93,ESTADÍSTICA!$AF$93,ESTADÍSTICA!$AH$93,ESTADÍSTICA!$AJ$93,ESTADÍSTICA!$AL$93,ESTADÍSTICA!$AN$93)</c:f>
              <c:numCache>
                <c:formatCode>#,##0</c:formatCode>
                <c:ptCount val="14"/>
                <c:pt idx="0">
                  <c:v>107</c:v>
                </c:pt>
                <c:pt idx="1">
                  <c:v>115</c:v>
                </c:pt>
                <c:pt idx="2">
                  <c:v>127</c:v>
                </c:pt>
                <c:pt idx="3">
                  <c:v>187</c:v>
                </c:pt>
                <c:pt idx="4">
                  <c:v>210</c:v>
                </c:pt>
                <c:pt idx="5">
                  <c:v>229</c:v>
                </c:pt>
                <c:pt idx="6">
                  <c:v>298</c:v>
                </c:pt>
                <c:pt idx="7">
                  <c:v>327</c:v>
                </c:pt>
                <c:pt idx="8">
                  <c:v>394</c:v>
                </c:pt>
                <c:pt idx="9">
                  <c:v>414</c:v>
                </c:pt>
                <c:pt idx="10">
                  <c:v>430</c:v>
                </c:pt>
                <c:pt idx="11">
                  <c:v>448</c:v>
                </c:pt>
                <c:pt idx="12">
                  <c:v>452</c:v>
                </c:pt>
                <c:pt idx="13">
                  <c:v>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84-4D02-94C9-C136D750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5256"/>
        <c:axId val="708887808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(ESTADÍSTICA!$O$93,ESTADÍSTICA!$Q$93,ESTADÍSTICA!$S$93,ESTADÍSTICA!$U$93,ESTADÍSTICA!$W$93,ESTADÍSTICA!$Y$93,ESTADÍSTICA!$AA$93,ESTADÍSTICA!$AC$93,ESTADÍSTICA!$AE$93,ESTADÍSTICA!$AG$93,ESTADÍSTICA!$AI$93,ESTADÍSTICA!$AK$93,ESTADÍSTICA!$AM$93,ESTADÍSTICA!$AO$93)</c:f>
              <c:numCache>
                <c:formatCode>#,##0</c:formatCode>
                <c:ptCount val="14"/>
                <c:pt idx="0">
                  <c:v>5618</c:v>
                </c:pt>
                <c:pt idx="1">
                  <c:v>5984</c:v>
                </c:pt>
                <c:pt idx="2">
                  <c:v>6466</c:v>
                </c:pt>
                <c:pt idx="3">
                  <c:v>9536</c:v>
                </c:pt>
                <c:pt idx="4">
                  <c:v>10122</c:v>
                </c:pt>
                <c:pt idx="5">
                  <c:v>11181</c:v>
                </c:pt>
                <c:pt idx="6">
                  <c:v>13988</c:v>
                </c:pt>
                <c:pt idx="7">
                  <c:v>15195</c:v>
                </c:pt>
                <c:pt idx="8">
                  <c:v>17783</c:v>
                </c:pt>
                <c:pt idx="9">
                  <c:v>18656</c:v>
                </c:pt>
                <c:pt idx="10">
                  <c:v>19308</c:v>
                </c:pt>
                <c:pt idx="11">
                  <c:v>20065</c:v>
                </c:pt>
                <c:pt idx="12">
                  <c:v>20206</c:v>
                </c:pt>
                <c:pt idx="13">
                  <c:v>20452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4-4D02-94C9-C136D750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0160"/>
        <c:axId val="708892904"/>
      </c:lineChart>
      <c:catAx>
        <c:axId val="708895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87808"/>
        <c:crosses val="autoZero"/>
        <c:auto val="1"/>
        <c:lblAlgn val="ctr"/>
        <c:lblOffset val="100"/>
        <c:noMultiLvlLbl val="0"/>
      </c:catAx>
      <c:valAx>
        <c:axId val="70888780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5256"/>
        <c:crosses val="autoZero"/>
        <c:crossBetween val="between"/>
        <c:majorUnit val="50"/>
        <c:minorUnit val="1"/>
      </c:valAx>
      <c:valAx>
        <c:axId val="708892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0160"/>
        <c:crosses val="max"/>
        <c:crossBetween val="between"/>
        <c:majorUnit val="2000"/>
      </c:valAx>
      <c:catAx>
        <c:axId val="70889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92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del Biobío</a:t>
            </a:r>
            <a:endParaRPr lang="es-E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N$108,ESTADÍSTICA!$P$108,ESTADÍSTICA!$R$108,ESTADÍSTICA!$T$108,ESTADÍSTICA!$V$108,ESTADÍSTICA!$X$108,ESTADÍSTICA!$Z$108,ESTADÍSTICA!$AB$108,ESTADÍSTICA!$AD$108,ESTADÍSTICA!$AF$108,ESTADÍSTICA!$AH$108,ESTADÍSTICA!$AJ$108,ESTADÍSTICA!$AL$108,ESTADÍSTICA!$AN$108)</c:f>
              <c:numCache>
                <c:formatCode>#,##0</c:formatCode>
                <c:ptCount val="14"/>
                <c:pt idx="0">
                  <c:v>82</c:v>
                </c:pt>
                <c:pt idx="1">
                  <c:v>85</c:v>
                </c:pt>
                <c:pt idx="2">
                  <c:v>88</c:v>
                </c:pt>
                <c:pt idx="3">
                  <c:v>137</c:v>
                </c:pt>
                <c:pt idx="4">
                  <c:v>156</c:v>
                </c:pt>
                <c:pt idx="5">
                  <c:v>168</c:v>
                </c:pt>
                <c:pt idx="6">
                  <c:v>245</c:v>
                </c:pt>
                <c:pt idx="7">
                  <c:v>276</c:v>
                </c:pt>
                <c:pt idx="8">
                  <c:v>325</c:v>
                </c:pt>
                <c:pt idx="9">
                  <c:v>353</c:v>
                </c:pt>
                <c:pt idx="10">
                  <c:v>364</c:v>
                </c:pt>
                <c:pt idx="11">
                  <c:v>383</c:v>
                </c:pt>
                <c:pt idx="12">
                  <c:v>421</c:v>
                </c:pt>
                <c:pt idx="13">
                  <c:v>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7D-4A4E-91F5-16DCF8DA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3688"/>
        <c:axId val="70889839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(ESTADÍSTICA!$N$99,ESTADÍSTICA!$P$99,ESTADÍSTICA!$R$99,ESTADÍSTICA!$T$99,ESTADÍSTICA!$V$99,ESTADÍSTICA!$X$99,ESTADÍSTICA!$Z$99,ESTADÍSTICA!$AB$99,ESTADÍSTICA!$AD$99,ESTADÍSTICA!$AF$99,ESTADÍSTICA!$AH$99,ESTADÍSTICA!$AJ$99,ESTADÍSTICA!$AL$99,ESTADÍSTICA!$AN$99)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60</c:v>
                      </c:pt>
                      <c:pt idx="1">
                        <c:v>62</c:v>
                      </c:pt>
                      <c:pt idx="2">
                        <c:v>65</c:v>
                      </c:pt>
                      <c:pt idx="3">
                        <c:v>88</c:v>
                      </c:pt>
                      <c:pt idx="4">
                        <c:v>103</c:v>
                      </c:pt>
                      <c:pt idx="5">
                        <c:v>110</c:v>
                      </c:pt>
                      <c:pt idx="6">
                        <c:v>153</c:v>
                      </c:pt>
                      <c:pt idx="7">
                        <c:v>173</c:v>
                      </c:pt>
                      <c:pt idx="8">
                        <c:v>207</c:v>
                      </c:pt>
                      <c:pt idx="9">
                        <c:v>227</c:v>
                      </c:pt>
                      <c:pt idx="10">
                        <c:v>233</c:v>
                      </c:pt>
                      <c:pt idx="11">
                        <c:v>248</c:v>
                      </c:pt>
                      <c:pt idx="12">
                        <c:v>267</c:v>
                      </c:pt>
                      <c:pt idx="13">
                        <c:v>283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$108,ESTADÍSTICA!$Q$108,ESTADÍSTICA!$S$108,ESTADÍSTICA!$U$108,ESTADÍSTICA!$W$108,ESTADÍSTICA!$Y$108,ESTADÍSTICA!$AA$108,ESTADÍSTICA!$AC$108,ESTADÍSTICA!$AE$108,ESTADÍSTICA!$AG$108,ESTADÍSTICA!$AI$108,ESTADÍSTICA!$AK$108,ESTADÍSTICA!$AM$108,ESTADÍSTICA!$AO$108)</c:f>
              <c:numCache>
                <c:formatCode>#,##0</c:formatCode>
                <c:ptCount val="14"/>
                <c:pt idx="0">
                  <c:v>4571</c:v>
                </c:pt>
                <c:pt idx="1">
                  <c:v>4725</c:v>
                </c:pt>
                <c:pt idx="2">
                  <c:v>4949</c:v>
                </c:pt>
                <c:pt idx="3">
                  <c:v>8179</c:v>
                </c:pt>
                <c:pt idx="4">
                  <c:v>9406</c:v>
                </c:pt>
                <c:pt idx="5">
                  <c:v>9899</c:v>
                </c:pt>
                <c:pt idx="6">
                  <c:v>13604</c:v>
                </c:pt>
                <c:pt idx="7">
                  <c:v>14961</c:v>
                </c:pt>
                <c:pt idx="8">
                  <c:v>17218</c:v>
                </c:pt>
                <c:pt idx="9">
                  <c:v>18535</c:v>
                </c:pt>
                <c:pt idx="10">
                  <c:v>18908</c:v>
                </c:pt>
                <c:pt idx="11">
                  <c:v>19666</c:v>
                </c:pt>
                <c:pt idx="12">
                  <c:v>20956</c:v>
                </c:pt>
                <c:pt idx="13">
                  <c:v>22022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7D-4A4E-91F5-16DCF8DA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96824"/>
        <c:axId val="7088940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(ESTADÍSTICA!$O$99,ESTADÍSTICA!$Q$99,ESTADÍSTICA!$S$99,ESTADÍSTICA!$U$99,ESTADÍSTICA!$W$99,ESTADÍSTICA!$Y$99,ESTADÍSTICA!$AA$99,ESTADÍSTICA!$AC$99,ESTADÍSTICA!$AE$99,ESTADÍSTICA!$AG$99,ESTADÍSTICA!$AI$99,ESTADÍSTICA!$AK$99,ESTADÍSTICA!$AM$99,ESTADÍSTICA!$AO$99)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3281</c:v>
                      </c:pt>
                      <c:pt idx="1">
                        <c:v>3305</c:v>
                      </c:pt>
                      <c:pt idx="2">
                        <c:v>3529</c:v>
                      </c:pt>
                      <c:pt idx="3">
                        <c:v>5269</c:v>
                      </c:pt>
                      <c:pt idx="4">
                        <c:v>6106</c:v>
                      </c:pt>
                      <c:pt idx="5">
                        <c:v>6404</c:v>
                      </c:pt>
                      <c:pt idx="6">
                        <c:v>8285</c:v>
                      </c:pt>
                      <c:pt idx="7">
                        <c:v>9140</c:v>
                      </c:pt>
                      <c:pt idx="8">
                        <c:v>10644</c:v>
                      </c:pt>
                      <c:pt idx="9">
                        <c:v>11402</c:v>
                      </c:pt>
                      <c:pt idx="10">
                        <c:v>11509</c:v>
                      </c:pt>
                      <c:pt idx="11">
                        <c:v>12056</c:v>
                      </c:pt>
                      <c:pt idx="12">
                        <c:v>12461</c:v>
                      </c:pt>
                      <c:pt idx="13">
                        <c:v>12999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08893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8392"/>
        <c:crosses val="autoZero"/>
        <c:auto val="1"/>
        <c:lblAlgn val="ctr"/>
        <c:lblOffset val="100"/>
        <c:noMultiLvlLbl val="0"/>
      </c:catAx>
      <c:valAx>
        <c:axId val="7088983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3688"/>
        <c:crosses val="autoZero"/>
        <c:crossBetween val="between"/>
        <c:majorUnit val="50"/>
        <c:minorUnit val="1"/>
      </c:valAx>
      <c:valAx>
        <c:axId val="708894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08896824"/>
        <c:crosses val="max"/>
        <c:crossBetween val="between"/>
        <c:majorUnit val="2000"/>
      </c:valAx>
      <c:catAx>
        <c:axId val="70889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89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27</xdr:row>
      <xdr:rowOff>161924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D635BC74-47F6-4CAA-B18C-C9BBFE005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28575</xdr:colOff>
      <xdr:row>58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3A3F5483-005B-4D1E-8EAE-896079665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13</xdr:col>
      <xdr:colOff>9525</xdr:colOff>
      <xdr:row>86</xdr:row>
      <xdr:rowOff>161924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320036B1-A27D-458C-A72F-3C35D0822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13</xdr:col>
      <xdr:colOff>9525</xdr:colOff>
      <xdr:row>114</xdr:row>
      <xdr:rowOff>161924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15B96C3-0651-40B4-8EF7-F42E4423C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13</xdr:col>
      <xdr:colOff>9525</xdr:colOff>
      <xdr:row>142</xdr:row>
      <xdr:rowOff>161924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2D242875-7C8C-49E9-9C07-719149746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13</xdr:col>
      <xdr:colOff>9525</xdr:colOff>
      <xdr:row>170</xdr:row>
      <xdr:rowOff>161924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70237B98-D6F6-434F-9DCD-FD3FD5C2E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13</xdr:col>
      <xdr:colOff>9525</xdr:colOff>
      <xdr:row>198</xdr:row>
      <xdr:rowOff>161924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3798DE76-6D56-432B-8DE3-CA865E7C5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13</xdr:col>
      <xdr:colOff>9525</xdr:colOff>
      <xdr:row>226</xdr:row>
      <xdr:rowOff>161924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7D731AA1-FF05-4E71-A110-B2A8E9980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227</xdr:row>
      <xdr:rowOff>0</xdr:rowOff>
    </xdr:from>
    <xdr:to>
      <xdr:col>13</xdr:col>
      <xdr:colOff>9525</xdr:colOff>
      <xdr:row>254</xdr:row>
      <xdr:rowOff>161924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E6DED990-2C82-43FE-BF07-8CEB8CA41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255</xdr:row>
      <xdr:rowOff>0</xdr:rowOff>
    </xdr:from>
    <xdr:to>
      <xdr:col>13</xdr:col>
      <xdr:colOff>9525</xdr:colOff>
      <xdr:row>282</xdr:row>
      <xdr:rowOff>161924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BDB616AD-155D-49B1-823A-01C4612F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13</xdr:col>
      <xdr:colOff>9525</xdr:colOff>
      <xdr:row>310</xdr:row>
      <xdr:rowOff>161924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E78C73DE-848B-46F5-80F2-7DFCB4CB8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9525</xdr:colOff>
      <xdr:row>338</xdr:row>
      <xdr:rowOff>161924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7264ACAF-15CD-4B4C-87CB-D172B7783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13</xdr:col>
      <xdr:colOff>9525</xdr:colOff>
      <xdr:row>366</xdr:row>
      <xdr:rowOff>161924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1380BE27-21CD-4FAE-88EF-17972E285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367</xdr:row>
      <xdr:rowOff>0</xdr:rowOff>
    </xdr:from>
    <xdr:to>
      <xdr:col>13</xdr:col>
      <xdr:colOff>9525</xdr:colOff>
      <xdr:row>394</xdr:row>
      <xdr:rowOff>161924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E6AC7D07-0CBE-4AE0-BE70-E9AAF3C24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57150</xdr:colOff>
      <xdr:row>28</xdr:row>
      <xdr:rowOff>0</xdr:rowOff>
    </xdr:from>
    <xdr:to>
      <xdr:col>26</xdr:col>
      <xdr:colOff>85725</xdr:colOff>
      <xdr:row>58</xdr:row>
      <xdr:rowOff>161925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46D5D442-A842-4856-A6AA-A72D04F49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76201</xdr:colOff>
      <xdr:row>0</xdr:row>
      <xdr:rowOff>152400</xdr:rowOff>
    </xdr:from>
    <xdr:to>
      <xdr:col>22</xdr:col>
      <xdr:colOff>400050</xdr:colOff>
      <xdr:row>26</xdr:row>
      <xdr:rowOff>178592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419100</xdr:colOff>
      <xdr:row>0</xdr:row>
      <xdr:rowOff>133350</xdr:rowOff>
    </xdr:from>
    <xdr:to>
      <xdr:col>32</xdr:col>
      <xdr:colOff>171450</xdr:colOff>
      <xdr:row>26</xdr:row>
      <xdr:rowOff>133350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ustavo GR. Roa" id="{8A26BAB6-F2C9-45B9-856B-FC3437B4D058}" userId="S-1-5-21-382831468-1035116594-987978697-1414" providerId="AD"/>
</personList>
</file>

<file path=xl/tables/table1.xml><?xml version="1.0" encoding="utf-8"?>
<table xmlns="http://schemas.openxmlformats.org/spreadsheetml/2006/main" id="1" name="Tabla1" displayName="Tabla1" ref="AQ4:AS21" totalsRowShown="0" headerRowDxfId="0" headerRowBorderDxfId="5" tableBorderDxfId="4">
  <tableColumns count="3">
    <tableColumn id="1" name="Región" dataDxfId="3"/>
    <tableColumn id="2" name="N° equipos" dataDxfId="2"/>
    <tableColumn id="3" name="Superficie (ha)" dataDxfId="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2" dT="2019-07-23T23:07:39.59" personId="{8A26BAB6-F2C9-45B9-856B-FC3437B4D058}" id="{97641784-A9FB-4CE7-AB59-490122E2384C}">
    <text>Incluye postulados y no postulados a la Ley</text>
  </threadedComment>
  <threadedComment ref="AG3" dT="2019-05-27T23:47:34.40" personId="{8A26BAB6-F2C9-45B9-856B-FC3437B4D058}" id="{D0F04238-7001-45D1-8D49-034C03AC7A1E}">
    <text>Considera aquellos proyectos que postularon y resultaron NS, NA o Ret y nunca se instalaron (han pasado al menos 5 años)</text>
  </threadedComment>
  <threadedComment ref="AI3" dT="2019-09-04T23:30:47.22" personId="{8A26BAB6-F2C9-45B9-856B-FC3437B4D058}" id="{80833A1A-1EF5-4875-98BE-9391EB06EE27}">
    <text>Se instalaron pero después fueron retirados o parte de su superficie ya no se riega</text>
  </threadedComment>
  <threadedComment ref="AK3" dT="2019-09-04T23:31:07.51" personId="{8A26BAB6-F2C9-45B9-856B-FC3437B4D058}" id="{5673842E-9341-4709-962A-72C0FBC0FAA7}">
    <text>Se instalaron pero después fueron movidos</text>
  </threadedComment>
  <threadedComment ref="AM3" dT="2019-09-04T23:31:42.52" personId="{8A26BAB6-F2C9-45B9-856B-FC3437B4D058}" id="{186CA58D-367D-4A92-B005-A242670FDDC0}">
    <text>- Incluyen los agrandados de superficie
- No se consideran los movidos y luego achicados o alargados, estos se consideran RETIRADOS</text>
  </threadedComment>
  <threadedComment ref="J4" dT="2019-05-31T21:52:32.04" personId="{8A26BAB6-F2C9-45B9-856B-FC3437B4D058}" id="{ED2D9999-7669-4C14-8A06-291AE500F0ED}">
    <text>Incluye los Drop Span</text>
  </threadedComment>
  <threadedComment ref="M4" dT="2019-09-04T21:51:54.22" personId="{8A26BAB6-F2C9-45B9-856B-FC3437B4D058}" id="{4378867B-B0D8-421A-9760-84105C96A55D}">
    <text>No incluye los con brazo extendible ni drop span (cuerpos separables)</text>
  </threadedComment>
  <threadedComment ref="BR4" dT="2019-07-09T23:39:49.98" personId="{8A26BAB6-F2C9-45B9-856B-FC3437B4D058}" id="{77987D7F-D6B4-4EE1-8E59-B946CE0FD91C}">
    <text>corregir los retirados año a año</text>
  </threadedComment>
  <threadedComment ref="AM67" dT="2019-08-14T14:37:56.23" personId="{8A26BAB6-F2C9-45B9-856B-FC3437B4D058}" id="{ED4468B3-F00C-4C23-A37B-C4A1BD506CD1}">
    <text>Pivote del 2016 se agranda al doble</text>
  </threadedComment>
  <threadedComment ref="BN67" dT="2019-08-14T14:42:25.26" personId="{8A26BAB6-F2C9-45B9-856B-FC3437B4D058}" id="{5C7800B4-26E2-4E6E-B671-90286A8C2362}">
    <text>Se agregan 28 ha de pivote del 2016 que se agranda</text>
  </threadedComment>
  <threadedComment ref="BN88" dT="2019-05-14T23:23:29.94" personId="{8A26BAB6-F2C9-45B9-856B-FC3437B4D058}" id="{B62A6ABF-0962-46B5-A47F-B0A4489A9DCD}">
    <text>Se agregan 12+5 por alargamiento de 2 posturas</text>
  </threadedComment>
  <threadedComment ref="BB132" dT="2019-08-09T16:55:47.43" personId="{8A26BAB6-F2C9-45B9-856B-FC3437B4D058}" id="{C0B5347C-9E52-49CD-B2E9-CEE1893F8842}">
    <text>Se eliminó una postura y se agregó otra de pivotes móviles</text>
  </threadedComment>
  <threadedComment ref="J133" dT="2019-09-04T21:49:43.27" personId="{8A26BAB6-F2C9-45B9-856B-FC3437B4D058}" id="{8A734349-BD10-47FB-A938-4FFD73B02954}">
    <text>3 fijos con brazo extendible</text>
  </threadedComment>
  <threadedComment ref="K133" dT="2019-09-04T21:48:58.80" personId="{8A26BAB6-F2C9-45B9-856B-FC3437B4D058}" id="{6D7661D7-261F-4661-9753-DAA924F0AD5C}">
    <text>1 móvil con brazo extendible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microsoft.com/office/2017/10/relationships/threadedComment" Target="../threadedComments/threadedComment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C18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2"/>
    </sheetView>
  </sheetViews>
  <sheetFormatPr baseColWidth="10" defaultRowHeight="15" x14ac:dyDescent="0.25"/>
  <cols>
    <col min="1" max="1" width="7.42578125" customWidth="1"/>
    <col min="2" max="2" width="16.42578125" customWidth="1"/>
    <col min="3" max="3" width="14" bestFit="1" customWidth="1"/>
    <col min="4" max="4" width="8.5703125" customWidth="1"/>
    <col min="5" max="5" width="10.140625" customWidth="1"/>
    <col min="6" max="6" width="10.140625" style="5" bestFit="1" customWidth="1"/>
    <col min="7" max="7" width="6.7109375" style="5" hidden="1" customWidth="1"/>
    <col min="8" max="8" width="7" style="5" customWidth="1"/>
    <col min="9" max="9" width="5.5703125" style="5" bestFit="1" customWidth="1"/>
    <col min="10" max="10" width="7" style="5" customWidth="1"/>
    <col min="11" max="11" width="4.5703125" style="5" bestFit="1" customWidth="1"/>
    <col min="12" max="12" width="9" style="5" bestFit="1" customWidth="1"/>
    <col min="13" max="13" width="4.5703125" style="5" bestFit="1" customWidth="1"/>
    <col min="14" max="14" width="5" style="7" customWidth="1"/>
    <col min="15" max="15" width="6.5703125" style="7" bestFit="1" customWidth="1"/>
    <col min="16" max="16" width="4.5703125" style="4" bestFit="1" customWidth="1"/>
    <col min="17" max="17" width="6.5703125" style="4" bestFit="1" customWidth="1"/>
    <col min="18" max="18" width="4.5703125" style="4" bestFit="1" customWidth="1"/>
    <col min="19" max="19" width="6.5703125" style="4" bestFit="1" customWidth="1"/>
    <col min="20" max="20" width="4.5703125" style="4" bestFit="1" customWidth="1"/>
    <col min="21" max="21" width="6.5703125" style="4" bestFit="1" customWidth="1"/>
    <col min="22" max="22" width="5.5703125" style="4" bestFit="1" customWidth="1"/>
    <col min="23" max="23" width="6.5703125" style="4" bestFit="1" customWidth="1"/>
    <col min="24" max="24" width="5.5703125" style="4" bestFit="1" customWidth="1"/>
    <col min="25" max="25" width="6.5703125" style="4" bestFit="1" customWidth="1"/>
    <col min="26" max="26" width="5.5703125" style="4" customWidth="1"/>
    <col min="27" max="27" width="6.5703125" style="4" bestFit="1" customWidth="1"/>
    <col min="28" max="28" width="5.5703125" style="4" customWidth="1"/>
    <col min="29" max="29" width="6.5703125" style="4" bestFit="1" customWidth="1"/>
    <col min="30" max="30" width="5.5703125" style="4" customWidth="1"/>
    <col min="31" max="31" width="6.5703125" style="4" bestFit="1" customWidth="1"/>
    <col min="32" max="32" width="5.5703125" style="4" bestFit="1" customWidth="1"/>
    <col min="33" max="33" width="6.5703125" style="4" bestFit="1" customWidth="1"/>
    <col min="34" max="34" width="5.5703125" style="7" bestFit="1" customWidth="1"/>
    <col min="35" max="35" width="6.5703125" style="7" bestFit="1" customWidth="1"/>
    <col min="36" max="36" width="5.5703125" style="7" customWidth="1"/>
    <col min="37" max="37" width="6.5703125" style="7" bestFit="1" customWidth="1"/>
    <col min="38" max="38" width="5.5703125" style="7" customWidth="1"/>
    <col min="39" max="39" width="6.5703125" style="7" bestFit="1" customWidth="1"/>
    <col min="40" max="40" width="5.5703125" style="7" customWidth="1"/>
    <col min="41" max="41" width="6.5703125" style="7" bestFit="1" customWidth="1"/>
    <col min="42" max="42" width="2.7109375" customWidth="1"/>
    <col min="43" max="43" width="7.140625" bestFit="1" customWidth="1"/>
    <col min="44" max="44" width="8.140625" bestFit="1" customWidth="1"/>
    <col min="45" max="45" width="10.42578125" customWidth="1"/>
  </cols>
  <sheetData>
    <row r="1" spans="1:45" ht="15.75" customHeight="1" thickBot="1" x14ac:dyDescent="0.3">
      <c r="A1" s="81" t="s">
        <v>115</v>
      </c>
      <c r="B1" s="82"/>
      <c r="C1" s="82"/>
      <c r="D1" s="82"/>
      <c r="E1" s="82"/>
      <c r="F1" s="82"/>
      <c r="G1" s="83"/>
      <c r="H1" s="36"/>
      <c r="I1" s="36"/>
      <c r="J1" s="36"/>
      <c r="K1" s="36"/>
      <c r="L1" s="105">
        <v>44013</v>
      </c>
      <c r="M1" s="105"/>
    </row>
    <row r="2" spans="1:45" ht="16.5" customHeight="1" thickBot="1" x14ac:dyDescent="0.3">
      <c r="A2" s="84"/>
      <c r="B2" s="85"/>
      <c r="C2" s="85"/>
      <c r="D2" s="85"/>
      <c r="E2" s="85"/>
      <c r="F2" s="85"/>
      <c r="G2" s="86"/>
      <c r="H2" s="88" t="s">
        <v>161</v>
      </c>
      <c r="I2" s="89"/>
      <c r="J2" s="89"/>
      <c r="K2" s="89"/>
      <c r="L2" s="89"/>
      <c r="M2" s="89"/>
      <c r="N2" s="77" t="s">
        <v>148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8"/>
    </row>
    <row r="3" spans="1:45" ht="15.75" thickBot="1" x14ac:dyDescent="0.3">
      <c r="A3" s="75" t="s">
        <v>170</v>
      </c>
      <c r="B3" s="87"/>
      <c r="C3" s="87"/>
      <c r="D3" s="87"/>
      <c r="E3" s="76"/>
      <c r="F3" s="44"/>
      <c r="G3" s="44"/>
      <c r="H3" s="90"/>
      <c r="I3" s="91"/>
      <c r="J3" s="91"/>
      <c r="K3" s="91"/>
      <c r="L3" s="91"/>
      <c r="M3" s="91"/>
      <c r="N3" s="77">
        <v>2006</v>
      </c>
      <c r="O3" s="78"/>
      <c r="P3" s="77">
        <v>2007</v>
      </c>
      <c r="Q3" s="78"/>
      <c r="R3" s="77">
        <v>2008</v>
      </c>
      <c r="S3" s="78"/>
      <c r="T3" s="77">
        <v>2009</v>
      </c>
      <c r="U3" s="78"/>
      <c r="V3" s="77">
        <v>2010</v>
      </c>
      <c r="W3" s="78"/>
      <c r="X3" s="77">
        <v>2011</v>
      </c>
      <c r="Y3" s="78"/>
      <c r="Z3" s="77">
        <v>2012</v>
      </c>
      <c r="AA3" s="78"/>
      <c r="AB3" s="77">
        <v>2013</v>
      </c>
      <c r="AC3" s="78"/>
      <c r="AD3" s="77">
        <v>2014</v>
      </c>
      <c r="AE3" s="78"/>
      <c r="AF3" s="77">
        <v>2015</v>
      </c>
      <c r="AG3" s="78"/>
      <c r="AH3" s="77">
        <v>2016</v>
      </c>
      <c r="AI3" s="78"/>
      <c r="AJ3" s="77">
        <v>2017</v>
      </c>
      <c r="AK3" s="78"/>
      <c r="AL3" s="77">
        <v>2018</v>
      </c>
      <c r="AM3" s="78"/>
      <c r="AN3" s="77">
        <v>2019</v>
      </c>
      <c r="AO3" s="78"/>
      <c r="AQ3" s="92" t="s">
        <v>171</v>
      </c>
      <c r="AR3" s="93"/>
      <c r="AS3" s="94"/>
    </row>
    <row r="4" spans="1:45" s="6" customFormat="1" ht="30.75" thickBot="1" x14ac:dyDescent="0.3">
      <c r="A4" s="45" t="s">
        <v>0</v>
      </c>
      <c r="B4" s="46" t="s">
        <v>1</v>
      </c>
      <c r="C4" s="47" t="s">
        <v>169</v>
      </c>
      <c r="D4" s="48" t="s">
        <v>121</v>
      </c>
      <c r="E4" s="47" t="s">
        <v>120</v>
      </c>
      <c r="F4" s="48" t="s">
        <v>121</v>
      </c>
      <c r="G4" s="49" t="s">
        <v>123</v>
      </c>
      <c r="H4" s="50" t="s">
        <v>116</v>
      </c>
      <c r="I4" s="62" t="s">
        <v>118</v>
      </c>
      <c r="J4" s="51" t="s">
        <v>117</v>
      </c>
      <c r="K4" s="62" t="s">
        <v>118</v>
      </c>
      <c r="L4" s="51" t="s">
        <v>3</v>
      </c>
      <c r="M4" s="62" t="s">
        <v>118</v>
      </c>
      <c r="N4" s="52" t="s">
        <v>146</v>
      </c>
      <c r="O4" s="53" t="s">
        <v>147</v>
      </c>
      <c r="P4" s="52" t="s">
        <v>146</v>
      </c>
      <c r="Q4" s="53" t="s">
        <v>147</v>
      </c>
      <c r="R4" s="52" t="s">
        <v>146</v>
      </c>
      <c r="S4" s="53" t="s">
        <v>147</v>
      </c>
      <c r="T4" s="52" t="s">
        <v>146</v>
      </c>
      <c r="U4" s="53" t="s">
        <v>147</v>
      </c>
      <c r="V4" s="52" t="s">
        <v>146</v>
      </c>
      <c r="W4" s="53" t="s">
        <v>147</v>
      </c>
      <c r="X4" s="52" t="s">
        <v>146</v>
      </c>
      <c r="Y4" s="53" t="s">
        <v>147</v>
      </c>
      <c r="Z4" s="52" t="s">
        <v>146</v>
      </c>
      <c r="AA4" s="53" t="s">
        <v>147</v>
      </c>
      <c r="AB4" s="52" t="s">
        <v>146</v>
      </c>
      <c r="AC4" s="53" t="s">
        <v>147</v>
      </c>
      <c r="AD4" s="52" t="s">
        <v>146</v>
      </c>
      <c r="AE4" s="53" t="s">
        <v>147</v>
      </c>
      <c r="AF4" s="52" t="s">
        <v>146</v>
      </c>
      <c r="AG4" s="53" t="s">
        <v>147</v>
      </c>
      <c r="AH4" s="52" t="s">
        <v>146</v>
      </c>
      <c r="AI4" s="53" t="s">
        <v>147</v>
      </c>
      <c r="AJ4" s="52" t="s">
        <v>146</v>
      </c>
      <c r="AK4" s="53" t="s">
        <v>147</v>
      </c>
      <c r="AL4" s="52" t="s">
        <v>146</v>
      </c>
      <c r="AM4" s="53" t="s">
        <v>147</v>
      </c>
      <c r="AN4" s="52" t="s">
        <v>146</v>
      </c>
      <c r="AO4" s="53" t="s">
        <v>147</v>
      </c>
      <c r="AP4"/>
      <c r="AQ4" s="101" t="s">
        <v>0</v>
      </c>
      <c r="AR4" s="102" t="s">
        <v>172</v>
      </c>
      <c r="AS4" s="102" t="s">
        <v>127</v>
      </c>
    </row>
    <row r="5" spans="1:45" x14ac:dyDescent="0.25">
      <c r="A5" s="80">
        <v>15</v>
      </c>
      <c r="B5" s="1" t="s">
        <v>155</v>
      </c>
      <c r="C5" s="1">
        <v>0</v>
      </c>
      <c r="D5" s="13">
        <f t="shared" ref="D5:D40" si="0">+C5/$C$158</f>
        <v>0</v>
      </c>
      <c r="E5" s="1">
        <v>0</v>
      </c>
      <c r="F5" s="13">
        <f>+E5/$E$158</f>
        <v>0</v>
      </c>
      <c r="G5" s="16" t="str">
        <f>IF(C5=0,"",E5/C5)</f>
        <v/>
      </c>
      <c r="H5" s="2"/>
      <c r="I5" s="9"/>
      <c r="J5" s="1"/>
      <c r="K5" s="1"/>
      <c r="L5" s="1"/>
      <c r="M5" s="1"/>
      <c r="N5" s="29">
        <v>0</v>
      </c>
      <c r="O5" s="30">
        <v>0</v>
      </c>
      <c r="P5" s="29">
        <f t="shared" ref="P5:AO5" si="1">+N5+0</f>
        <v>0</v>
      </c>
      <c r="Q5" s="30">
        <f t="shared" si="1"/>
        <v>0</v>
      </c>
      <c r="R5" s="29">
        <f t="shared" si="1"/>
        <v>0</v>
      </c>
      <c r="S5" s="30">
        <f t="shared" si="1"/>
        <v>0</v>
      </c>
      <c r="T5" s="29">
        <f t="shared" si="1"/>
        <v>0</v>
      </c>
      <c r="U5" s="30">
        <f t="shared" si="1"/>
        <v>0</v>
      </c>
      <c r="V5" s="29">
        <f t="shared" si="1"/>
        <v>0</v>
      </c>
      <c r="W5" s="30">
        <f t="shared" si="1"/>
        <v>0</v>
      </c>
      <c r="X5" s="29">
        <f t="shared" si="1"/>
        <v>0</v>
      </c>
      <c r="Y5" s="30">
        <f t="shared" si="1"/>
        <v>0</v>
      </c>
      <c r="Z5" s="29">
        <f t="shared" si="1"/>
        <v>0</v>
      </c>
      <c r="AA5" s="30">
        <f t="shared" si="1"/>
        <v>0</v>
      </c>
      <c r="AB5" s="29">
        <f t="shared" si="1"/>
        <v>0</v>
      </c>
      <c r="AC5" s="30">
        <f t="shared" si="1"/>
        <v>0</v>
      </c>
      <c r="AD5" s="29">
        <f t="shared" si="1"/>
        <v>0</v>
      </c>
      <c r="AE5" s="30">
        <f t="shared" si="1"/>
        <v>0</v>
      </c>
      <c r="AF5" s="29">
        <f t="shared" si="1"/>
        <v>0</v>
      </c>
      <c r="AG5" s="30">
        <f t="shared" si="1"/>
        <v>0</v>
      </c>
      <c r="AH5" s="29">
        <f t="shared" si="1"/>
        <v>0</v>
      </c>
      <c r="AI5" s="30">
        <f t="shared" si="1"/>
        <v>0</v>
      </c>
      <c r="AJ5" s="29">
        <f t="shared" si="1"/>
        <v>0</v>
      </c>
      <c r="AK5" s="30">
        <f t="shared" si="1"/>
        <v>0</v>
      </c>
      <c r="AL5" s="31">
        <f t="shared" si="1"/>
        <v>0</v>
      </c>
      <c r="AM5" s="32">
        <f t="shared" si="1"/>
        <v>0</v>
      </c>
      <c r="AN5" s="95">
        <f t="shared" si="1"/>
        <v>0</v>
      </c>
      <c r="AO5" s="96">
        <f t="shared" si="1"/>
        <v>0</v>
      </c>
      <c r="AQ5" s="58">
        <v>15</v>
      </c>
      <c r="AR5" s="1">
        <f>+C7</f>
        <v>3</v>
      </c>
      <c r="AS5" s="1">
        <f>+E7</f>
        <v>138</v>
      </c>
    </row>
    <row r="6" spans="1:45" x14ac:dyDescent="0.25">
      <c r="A6" s="68"/>
      <c r="B6" s="1" t="s">
        <v>2</v>
      </c>
      <c r="C6" s="1">
        <v>3</v>
      </c>
      <c r="D6" s="13">
        <f t="shared" si="0"/>
        <v>1.477832512315271E-3</v>
      </c>
      <c r="E6" s="1">
        <v>138</v>
      </c>
      <c r="F6" s="13">
        <f>+E6/$E$158</f>
        <v>1.4269170320125734E-3</v>
      </c>
      <c r="G6" s="16">
        <f>IF(C6=0,"",E6/C6)</f>
        <v>46</v>
      </c>
      <c r="H6" s="2">
        <v>3</v>
      </c>
      <c r="I6" s="9"/>
      <c r="J6" s="1"/>
      <c r="K6" s="1"/>
      <c r="L6" s="1"/>
      <c r="M6" s="1"/>
      <c r="N6" s="37">
        <v>0</v>
      </c>
      <c r="O6" s="38">
        <v>0</v>
      </c>
      <c r="P6" s="37">
        <f>+N6+1</f>
        <v>1</v>
      </c>
      <c r="Q6" s="38">
        <f>+O6+34</f>
        <v>34</v>
      </c>
      <c r="R6" s="37">
        <f>+P6+0</f>
        <v>1</v>
      </c>
      <c r="S6" s="38">
        <f>+Q6+0</f>
        <v>34</v>
      </c>
      <c r="T6" s="37">
        <f>+R6+0</f>
        <v>1</v>
      </c>
      <c r="U6" s="38">
        <f>+S6+0</f>
        <v>34</v>
      </c>
      <c r="V6" s="37">
        <f>+T6+3-1</f>
        <v>3</v>
      </c>
      <c r="W6" s="38">
        <f>+U6+48+49+41-34</f>
        <v>138</v>
      </c>
      <c r="X6" s="37">
        <f t="shared" ref="X6:AG6" si="2">+V6+0</f>
        <v>3</v>
      </c>
      <c r="Y6" s="38">
        <f t="shared" si="2"/>
        <v>138</v>
      </c>
      <c r="Z6" s="37">
        <f t="shared" si="2"/>
        <v>3</v>
      </c>
      <c r="AA6" s="38">
        <f t="shared" si="2"/>
        <v>138</v>
      </c>
      <c r="AB6" s="37">
        <f t="shared" si="2"/>
        <v>3</v>
      </c>
      <c r="AC6" s="38">
        <f t="shared" si="2"/>
        <v>138</v>
      </c>
      <c r="AD6" s="37">
        <f t="shared" si="2"/>
        <v>3</v>
      </c>
      <c r="AE6" s="38">
        <f t="shared" si="2"/>
        <v>138</v>
      </c>
      <c r="AF6" s="37">
        <f t="shared" si="2"/>
        <v>3</v>
      </c>
      <c r="AG6" s="38">
        <f t="shared" si="2"/>
        <v>138</v>
      </c>
      <c r="AH6" s="37">
        <f>+AF6+0</f>
        <v>3</v>
      </c>
      <c r="AI6" s="38">
        <f t="shared" ref="AI6:AO6" si="3">+AG6+0</f>
        <v>138</v>
      </c>
      <c r="AJ6" s="37">
        <f t="shared" si="3"/>
        <v>3</v>
      </c>
      <c r="AK6" s="38">
        <f t="shared" si="3"/>
        <v>138</v>
      </c>
      <c r="AL6" s="37">
        <f t="shared" si="3"/>
        <v>3</v>
      </c>
      <c r="AM6" s="38">
        <f t="shared" si="3"/>
        <v>138</v>
      </c>
      <c r="AN6" s="97">
        <f t="shared" si="3"/>
        <v>3</v>
      </c>
      <c r="AO6" s="98">
        <f t="shared" si="3"/>
        <v>138</v>
      </c>
      <c r="AQ6" s="58">
        <v>1</v>
      </c>
      <c r="AR6" s="59">
        <v>0</v>
      </c>
      <c r="AS6" s="59">
        <v>0</v>
      </c>
    </row>
    <row r="7" spans="1:45" x14ac:dyDescent="0.25">
      <c r="A7" s="73" t="s">
        <v>134</v>
      </c>
      <c r="B7" s="74"/>
      <c r="C7" s="21">
        <f>SUM(C5:C6)</f>
        <v>3</v>
      </c>
      <c r="D7" s="14">
        <f t="shared" si="0"/>
        <v>1.477832512315271E-3</v>
      </c>
      <c r="E7" s="21">
        <f>SUM(E5:E6)</f>
        <v>138</v>
      </c>
      <c r="F7" s="14">
        <f>+E7/$E$158</f>
        <v>1.4269170320125734E-3</v>
      </c>
      <c r="G7" s="21">
        <f>SUM(G5:G6)</f>
        <v>46</v>
      </c>
      <c r="H7" s="21">
        <f>SUM(H5:H6)</f>
        <v>3</v>
      </c>
      <c r="I7" s="63">
        <f>+H7/$C$7</f>
        <v>1</v>
      </c>
      <c r="J7" s="21">
        <f>SUM(J5:J6)</f>
        <v>0</v>
      </c>
      <c r="K7" s="63">
        <f>+J7/$C$7</f>
        <v>0</v>
      </c>
      <c r="L7" s="21">
        <f>SUM(L5:L6)</f>
        <v>0</v>
      </c>
      <c r="M7" s="63">
        <f>+L7/$C$7</f>
        <v>0</v>
      </c>
      <c r="N7" s="39">
        <f t="shared" ref="N7:AO7" si="4">SUM(N5:N6)</f>
        <v>0</v>
      </c>
      <c r="O7" s="39">
        <f t="shared" si="4"/>
        <v>0</v>
      </c>
      <c r="P7" s="39">
        <f t="shared" si="4"/>
        <v>1</v>
      </c>
      <c r="Q7" s="39">
        <f t="shared" si="4"/>
        <v>34</v>
      </c>
      <c r="R7" s="39">
        <f t="shared" si="4"/>
        <v>1</v>
      </c>
      <c r="S7" s="39">
        <f t="shared" si="4"/>
        <v>34</v>
      </c>
      <c r="T7" s="39">
        <f t="shared" si="4"/>
        <v>1</v>
      </c>
      <c r="U7" s="39">
        <f t="shared" si="4"/>
        <v>34</v>
      </c>
      <c r="V7" s="39">
        <f t="shared" si="4"/>
        <v>3</v>
      </c>
      <c r="W7" s="39">
        <f t="shared" si="4"/>
        <v>138</v>
      </c>
      <c r="X7" s="39">
        <f t="shared" si="4"/>
        <v>3</v>
      </c>
      <c r="Y7" s="39">
        <f t="shared" si="4"/>
        <v>138</v>
      </c>
      <c r="Z7" s="39">
        <f t="shared" si="4"/>
        <v>3</v>
      </c>
      <c r="AA7" s="39">
        <f t="shared" si="4"/>
        <v>138</v>
      </c>
      <c r="AB7" s="39">
        <f t="shared" si="4"/>
        <v>3</v>
      </c>
      <c r="AC7" s="39">
        <f t="shared" si="4"/>
        <v>138</v>
      </c>
      <c r="AD7" s="39">
        <f t="shared" si="4"/>
        <v>3</v>
      </c>
      <c r="AE7" s="39">
        <f t="shared" si="4"/>
        <v>138</v>
      </c>
      <c r="AF7" s="39">
        <f t="shared" si="4"/>
        <v>3</v>
      </c>
      <c r="AG7" s="39">
        <f t="shared" si="4"/>
        <v>138</v>
      </c>
      <c r="AH7" s="39">
        <f t="shared" si="4"/>
        <v>3</v>
      </c>
      <c r="AI7" s="39">
        <f t="shared" si="4"/>
        <v>138</v>
      </c>
      <c r="AJ7" s="39">
        <f t="shared" si="4"/>
        <v>3</v>
      </c>
      <c r="AK7" s="39">
        <f t="shared" si="4"/>
        <v>138</v>
      </c>
      <c r="AL7" s="39">
        <f t="shared" si="4"/>
        <v>3</v>
      </c>
      <c r="AM7" s="39">
        <f t="shared" si="4"/>
        <v>138</v>
      </c>
      <c r="AN7" s="39">
        <f t="shared" si="4"/>
        <v>3</v>
      </c>
      <c r="AO7" s="39">
        <f t="shared" si="4"/>
        <v>138</v>
      </c>
      <c r="AQ7" s="58">
        <v>2</v>
      </c>
      <c r="AR7" s="59">
        <v>0</v>
      </c>
      <c r="AS7" s="59">
        <v>0</v>
      </c>
    </row>
    <row r="8" spans="1:45" x14ac:dyDescent="0.25">
      <c r="A8" s="66">
        <v>3</v>
      </c>
      <c r="B8" s="1" t="s">
        <v>165</v>
      </c>
      <c r="C8" s="1">
        <v>0</v>
      </c>
      <c r="D8" s="13">
        <f t="shared" si="0"/>
        <v>0</v>
      </c>
      <c r="E8" s="1">
        <v>0</v>
      </c>
      <c r="F8" s="13">
        <f>+E8/$E$158</f>
        <v>0</v>
      </c>
      <c r="G8" s="16" t="str">
        <f t="shared" ref="G8:G79" si="5">IF(C8=0,"",E8/C8)</f>
        <v/>
      </c>
      <c r="H8" s="2"/>
      <c r="I8" s="9"/>
      <c r="J8" s="1"/>
      <c r="K8" s="1"/>
      <c r="L8" s="1"/>
      <c r="M8" s="1"/>
      <c r="N8" s="29">
        <v>0</v>
      </c>
      <c r="O8" s="30">
        <v>0</v>
      </c>
      <c r="P8" s="29">
        <f t="shared" ref="P8:AO8" si="6">+N8+0</f>
        <v>0</v>
      </c>
      <c r="Q8" s="30">
        <f t="shared" si="6"/>
        <v>0</v>
      </c>
      <c r="R8" s="29">
        <f t="shared" si="6"/>
        <v>0</v>
      </c>
      <c r="S8" s="30">
        <f t="shared" si="6"/>
        <v>0</v>
      </c>
      <c r="T8" s="29">
        <f t="shared" si="6"/>
        <v>0</v>
      </c>
      <c r="U8" s="30">
        <f t="shared" si="6"/>
        <v>0</v>
      </c>
      <c r="V8" s="29">
        <f t="shared" si="6"/>
        <v>0</v>
      </c>
      <c r="W8" s="30">
        <f t="shared" si="6"/>
        <v>0</v>
      </c>
      <c r="X8" s="29">
        <f t="shared" si="6"/>
        <v>0</v>
      </c>
      <c r="Y8" s="30">
        <f t="shared" si="6"/>
        <v>0</v>
      </c>
      <c r="Z8" s="29">
        <f t="shared" si="6"/>
        <v>0</v>
      </c>
      <c r="AA8" s="30">
        <f t="shared" si="6"/>
        <v>0</v>
      </c>
      <c r="AB8" s="29">
        <f t="shared" si="6"/>
        <v>0</v>
      </c>
      <c r="AC8" s="30">
        <f t="shared" si="6"/>
        <v>0</v>
      </c>
      <c r="AD8" s="29">
        <f t="shared" si="6"/>
        <v>0</v>
      </c>
      <c r="AE8" s="30">
        <f t="shared" si="6"/>
        <v>0</v>
      </c>
      <c r="AF8" s="29">
        <f t="shared" si="6"/>
        <v>0</v>
      </c>
      <c r="AG8" s="30">
        <f t="shared" si="6"/>
        <v>0</v>
      </c>
      <c r="AH8" s="29">
        <f t="shared" si="6"/>
        <v>0</v>
      </c>
      <c r="AI8" s="30">
        <f t="shared" si="6"/>
        <v>0</v>
      </c>
      <c r="AJ8" s="29">
        <f t="shared" si="6"/>
        <v>0</v>
      </c>
      <c r="AK8" s="30">
        <f t="shared" si="6"/>
        <v>0</v>
      </c>
      <c r="AL8" s="29">
        <f t="shared" si="6"/>
        <v>0</v>
      </c>
      <c r="AM8" s="30">
        <f t="shared" si="6"/>
        <v>0</v>
      </c>
      <c r="AN8" s="99">
        <f t="shared" si="6"/>
        <v>0</v>
      </c>
      <c r="AO8" s="100">
        <f t="shared" si="6"/>
        <v>0</v>
      </c>
      <c r="AQ8" s="58">
        <v>3</v>
      </c>
      <c r="AR8" s="1">
        <f>+C10</f>
        <v>1</v>
      </c>
      <c r="AS8" s="1">
        <f>+E10</f>
        <v>100</v>
      </c>
    </row>
    <row r="9" spans="1:45" x14ac:dyDescent="0.25">
      <c r="A9" s="68"/>
      <c r="B9" s="1" t="s">
        <v>4</v>
      </c>
      <c r="C9" s="1">
        <v>1</v>
      </c>
      <c r="D9" s="13">
        <f t="shared" si="0"/>
        <v>4.9261083743842361E-4</v>
      </c>
      <c r="E9" s="1">
        <v>100</v>
      </c>
      <c r="F9" s="13">
        <f>+E9/$E$158</f>
        <v>1.0339978492844735E-3</v>
      </c>
      <c r="G9" s="16">
        <f t="shared" si="5"/>
        <v>100</v>
      </c>
      <c r="H9" s="2">
        <v>1</v>
      </c>
      <c r="I9" s="9"/>
      <c r="J9" s="1"/>
      <c r="K9" s="1"/>
      <c r="L9" s="1"/>
      <c r="M9" s="1"/>
      <c r="N9" s="29">
        <v>1</v>
      </c>
      <c r="O9" s="30">
        <v>100</v>
      </c>
      <c r="P9" s="29">
        <f t="shared" ref="P9:AG9" si="7">+N9+0</f>
        <v>1</v>
      </c>
      <c r="Q9" s="30">
        <f t="shared" si="7"/>
        <v>100</v>
      </c>
      <c r="R9" s="29">
        <f t="shared" si="7"/>
        <v>1</v>
      </c>
      <c r="S9" s="30">
        <f t="shared" si="7"/>
        <v>100</v>
      </c>
      <c r="T9" s="29">
        <f t="shared" si="7"/>
        <v>1</v>
      </c>
      <c r="U9" s="30">
        <f t="shared" si="7"/>
        <v>100</v>
      </c>
      <c r="V9" s="29">
        <f t="shared" si="7"/>
        <v>1</v>
      </c>
      <c r="W9" s="30">
        <f t="shared" si="7"/>
        <v>100</v>
      </c>
      <c r="X9" s="29">
        <f t="shared" si="7"/>
        <v>1</v>
      </c>
      <c r="Y9" s="30">
        <f t="shared" si="7"/>
        <v>100</v>
      </c>
      <c r="Z9" s="29">
        <f t="shared" si="7"/>
        <v>1</v>
      </c>
      <c r="AA9" s="30">
        <f t="shared" si="7"/>
        <v>100</v>
      </c>
      <c r="AB9" s="29">
        <f t="shared" si="7"/>
        <v>1</v>
      </c>
      <c r="AC9" s="30">
        <f t="shared" si="7"/>
        <v>100</v>
      </c>
      <c r="AD9" s="29">
        <f t="shared" si="7"/>
        <v>1</v>
      </c>
      <c r="AE9" s="30">
        <f t="shared" si="7"/>
        <v>100</v>
      </c>
      <c r="AF9" s="29">
        <f t="shared" si="7"/>
        <v>1</v>
      </c>
      <c r="AG9" s="30">
        <f t="shared" si="7"/>
        <v>100</v>
      </c>
      <c r="AH9" s="29">
        <f t="shared" ref="AH9:AM9" si="8">+AF9+0</f>
        <v>1</v>
      </c>
      <c r="AI9" s="30">
        <f t="shared" si="8"/>
        <v>100</v>
      </c>
      <c r="AJ9" s="29">
        <f t="shared" si="8"/>
        <v>1</v>
      </c>
      <c r="AK9" s="30">
        <f t="shared" si="8"/>
        <v>100</v>
      </c>
      <c r="AL9" s="29">
        <f t="shared" si="8"/>
        <v>1</v>
      </c>
      <c r="AM9" s="30">
        <f t="shared" si="8"/>
        <v>100</v>
      </c>
      <c r="AN9" s="99">
        <f t="shared" ref="AN9:AN76" si="9">+AL9+0</f>
        <v>1</v>
      </c>
      <c r="AO9" s="100">
        <f t="shared" ref="AO9:AO76" si="10">+AM9+0</f>
        <v>100</v>
      </c>
      <c r="AQ9" s="58">
        <v>4</v>
      </c>
      <c r="AR9" s="1">
        <f>+C15</f>
        <v>23</v>
      </c>
      <c r="AS9" s="1">
        <f>+E15</f>
        <v>1201</v>
      </c>
    </row>
    <row r="10" spans="1:45" x14ac:dyDescent="0.25">
      <c r="A10" s="73" t="s">
        <v>135</v>
      </c>
      <c r="B10" s="74"/>
      <c r="C10" s="21">
        <f>SUM(C8:C9)</f>
        <v>1</v>
      </c>
      <c r="D10" s="14">
        <f t="shared" si="0"/>
        <v>4.9261083743842361E-4</v>
      </c>
      <c r="E10" s="21">
        <f t="shared" ref="E10:L10" si="11">SUM(E8:E9)</f>
        <v>100</v>
      </c>
      <c r="F10" s="14">
        <f t="shared" si="11"/>
        <v>1.0339978492844735E-3</v>
      </c>
      <c r="G10" s="17">
        <f t="shared" si="11"/>
        <v>100</v>
      </c>
      <c r="H10" s="18">
        <f t="shared" si="11"/>
        <v>1</v>
      </c>
      <c r="I10" s="63">
        <f>+H10/$C$10</f>
        <v>1</v>
      </c>
      <c r="J10" s="21">
        <f t="shared" si="11"/>
        <v>0</v>
      </c>
      <c r="K10" s="63">
        <f>+J10/$C$10</f>
        <v>0</v>
      </c>
      <c r="L10" s="21">
        <f t="shared" si="11"/>
        <v>0</v>
      </c>
      <c r="M10" s="63">
        <f>+L10/$C$10</f>
        <v>0</v>
      </c>
      <c r="N10" s="24">
        <f>SUM(N9)</f>
        <v>1</v>
      </c>
      <c r="O10" s="27">
        <f t="shared" ref="O10:AK10" si="12">SUM(O9)</f>
        <v>100</v>
      </c>
      <c r="P10" s="24">
        <f t="shared" si="12"/>
        <v>1</v>
      </c>
      <c r="Q10" s="27">
        <f t="shared" si="12"/>
        <v>100</v>
      </c>
      <c r="R10" s="24">
        <f t="shared" si="12"/>
        <v>1</v>
      </c>
      <c r="S10" s="27">
        <f t="shared" si="12"/>
        <v>100</v>
      </c>
      <c r="T10" s="24">
        <f t="shared" si="12"/>
        <v>1</v>
      </c>
      <c r="U10" s="27">
        <f t="shared" si="12"/>
        <v>100</v>
      </c>
      <c r="V10" s="24">
        <f t="shared" si="12"/>
        <v>1</v>
      </c>
      <c r="W10" s="27">
        <f t="shared" si="12"/>
        <v>100</v>
      </c>
      <c r="X10" s="24">
        <f t="shared" si="12"/>
        <v>1</v>
      </c>
      <c r="Y10" s="27">
        <f t="shared" si="12"/>
        <v>100</v>
      </c>
      <c r="Z10" s="24">
        <f t="shared" si="12"/>
        <v>1</v>
      </c>
      <c r="AA10" s="27">
        <f t="shared" si="12"/>
        <v>100</v>
      </c>
      <c r="AB10" s="24">
        <f t="shared" si="12"/>
        <v>1</v>
      </c>
      <c r="AC10" s="27">
        <f t="shared" si="12"/>
        <v>100</v>
      </c>
      <c r="AD10" s="24">
        <f t="shared" si="12"/>
        <v>1</v>
      </c>
      <c r="AE10" s="27">
        <f t="shared" si="12"/>
        <v>100</v>
      </c>
      <c r="AF10" s="24">
        <f t="shared" si="12"/>
        <v>1</v>
      </c>
      <c r="AG10" s="27">
        <f t="shared" si="12"/>
        <v>100</v>
      </c>
      <c r="AH10" s="24">
        <f t="shared" si="12"/>
        <v>1</v>
      </c>
      <c r="AI10" s="27">
        <f t="shared" si="12"/>
        <v>100</v>
      </c>
      <c r="AJ10" s="24">
        <f t="shared" si="12"/>
        <v>1</v>
      </c>
      <c r="AK10" s="27">
        <f t="shared" si="12"/>
        <v>100</v>
      </c>
      <c r="AL10" s="24">
        <f>SUM(AL9)</f>
        <v>1</v>
      </c>
      <c r="AM10" s="27">
        <f>SUM(AM9)</f>
        <v>100</v>
      </c>
      <c r="AN10" s="24">
        <f t="shared" si="9"/>
        <v>1</v>
      </c>
      <c r="AO10" s="27">
        <f t="shared" si="10"/>
        <v>100</v>
      </c>
      <c r="AQ10" s="58">
        <v>5</v>
      </c>
      <c r="AR10" s="1">
        <f>+C24</f>
        <v>30</v>
      </c>
      <c r="AS10" s="1">
        <f>+E24</f>
        <v>1567</v>
      </c>
    </row>
    <row r="11" spans="1:45" x14ac:dyDescent="0.25">
      <c r="A11" s="66">
        <v>4</v>
      </c>
      <c r="B11" s="1" t="s">
        <v>5</v>
      </c>
      <c r="C11" s="1">
        <v>6</v>
      </c>
      <c r="D11" s="13">
        <f t="shared" si="0"/>
        <v>2.9556650246305421E-3</v>
      </c>
      <c r="E11" s="1">
        <v>112</v>
      </c>
      <c r="F11" s="13">
        <f t="shared" ref="F11:F27" si="13">+E11/$E$158</f>
        <v>1.1580775911986102E-3</v>
      </c>
      <c r="G11" s="16">
        <f t="shared" si="5"/>
        <v>18.666666666666668</v>
      </c>
      <c r="H11" s="2">
        <v>6</v>
      </c>
      <c r="I11" s="9"/>
      <c r="J11" s="1"/>
      <c r="K11" s="1"/>
      <c r="L11" s="1"/>
      <c r="M11" s="1"/>
      <c r="N11" s="29">
        <v>0</v>
      </c>
      <c r="O11" s="30">
        <v>0</v>
      </c>
      <c r="P11" s="29">
        <f t="shared" ref="P11:V11" si="14">+N11+0</f>
        <v>0</v>
      </c>
      <c r="Q11" s="30">
        <f t="shared" si="14"/>
        <v>0</v>
      </c>
      <c r="R11" s="29">
        <f t="shared" si="14"/>
        <v>0</v>
      </c>
      <c r="S11" s="30">
        <f t="shared" si="14"/>
        <v>0</v>
      </c>
      <c r="T11" s="29">
        <f t="shared" si="14"/>
        <v>0</v>
      </c>
      <c r="U11" s="30">
        <f t="shared" si="14"/>
        <v>0</v>
      </c>
      <c r="V11" s="29">
        <f t="shared" si="14"/>
        <v>0</v>
      </c>
      <c r="W11" s="30">
        <f>+U11+13+11+19+12</f>
        <v>55</v>
      </c>
      <c r="X11" s="29">
        <f>+V11+0</f>
        <v>0</v>
      </c>
      <c r="Y11" s="30">
        <f>+W11+18</f>
        <v>73</v>
      </c>
      <c r="Z11" s="29">
        <f>+X11+0</f>
        <v>0</v>
      </c>
      <c r="AA11" s="30">
        <f>+Y11+39</f>
        <v>112</v>
      </c>
      <c r="AB11" s="29">
        <f>+Z11+4</f>
        <v>4</v>
      </c>
      <c r="AC11" s="30">
        <f>+AA11+0</f>
        <v>112</v>
      </c>
      <c r="AD11" s="29">
        <f>+AB11+1</f>
        <v>5</v>
      </c>
      <c r="AE11" s="30">
        <f>+AC11+0</f>
        <v>112</v>
      </c>
      <c r="AF11" s="29">
        <f>+AD11+1</f>
        <v>6</v>
      </c>
      <c r="AG11" s="30">
        <f>+AE11+0</f>
        <v>112</v>
      </c>
      <c r="AH11" s="29">
        <f>+AF11+0</f>
        <v>6</v>
      </c>
      <c r="AI11" s="30">
        <f>+AG11+0</f>
        <v>112</v>
      </c>
      <c r="AJ11" s="29">
        <f>+AH11+0</f>
        <v>6</v>
      </c>
      <c r="AK11" s="30">
        <f>+AI11+0</f>
        <v>112</v>
      </c>
      <c r="AL11" s="29">
        <f t="shared" ref="AL11:AL64" si="15">+AJ11+0</f>
        <v>6</v>
      </c>
      <c r="AM11" s="30">
        <f>+AK11+0</f>
        <v>112</v>
      </c>
      <c r="AN11" s="99">
        <f t="shared" si="9"/>
        <v>6</v>
      </c>
      <c r="AO11" s="100">
        <f t="shared" si="10"/>
        <v>112</v>
      </c>
      <c r="AQ11" s="58" t="s">
        <v>126</v>
      </c>
      <c r="AR11" s="1">
        <f>+C35</f>
        <v>138</v>
      </c>
      <c r="AS11" s="1">
        <f>+E35</f>
        <v>5582</v>
      </c>
    </row>
    <row r="12" spans="1:45" x14ac:dyDescent="0.25">
      <c r="A12" s="67"/>
      <c r="B12" s="1" t="s">
        <v>6</v>
      </c>
      <c r="C12" s="1">
        <v>10</v>
      </c>
      <c r="D12" s="13">
        <f t="shared" si="0"/>
        <v>4.9261083743842365E-3</v>
      </c>
      <c r="E12" s="1">
        <f>764-65</f>
        <v>699</v>
      </c>
      <c r="F12" s="13">
        <f t="shared" si="13"/>
        <v>7.2276449664984699E-3</v>
      </c>
      <c r="G12" s="16">
        <f t="shared" si="5"/>
        <v>69.900000000000006</v>
      </c>
      <c r="H12" s="2">
        <v>10</v>
      </c>
      <c r="I12" s="9"/>
      <c r="J12" s="1"/>
      <c r="K12" s="1"/>
      <c r="L12" s="1"/>
      <c r="M12" s="1"/>
      <c r="N12" s="29">
        <v>8</v>
      </c>
      <c r="O12" s="30">
        <f>71+43+146-146+69+123+33+102+56+55+75</f>
        <v>627</v>
      </c>
      <c r="P12" s="29">
        <f>+N12+3</f>
        <v>11</v>
      </c>
      <c r="Q12" s="30">
        <f>+O12+67+43+131</f>
        <v>868</v>
      </c>
      <c r="R12" s="29">
        <f t="shared" ref="R12:U14" si="16">+P12+0</f>
        <v>11</v>
      </c>
      <c r="S12" s="30">
        <f t="shared" si="16"/>
        <v>868</v>
      </c>
      <c r="T12" s="29">
        <f t="shared" si="16"/>
        <v>11</v>
      </c>
      <c r="U12" s="30">
        <f t="shared" si="16"/>
        <v>868</v>
      </c>
      <c r="V12" s="29">
        <f>+T12+1</f>
        <v>12</v>
      </c>
      <c r="W12" s="30">
        <f>+U12+87-33</f>
        <v>922</v>
      </c>
      <c r="X12" s="29">
        <f>+V12+0</f>
        <v>12</v>
      </c>
      <c r="Y12" s="30">
        <f>+W12+0</f>
        <v>922</v>
      </c>
      <c r="Z12" s="29">
        <f>+X12+0</f>
        <v>12</v>
      </c>
      <c r="AA12" s="30">
        <f>+Y12+0</f>
        <v>922</v>
      </c>
      <c r="AB12" s="29">
        <f>+Z12+0</f>
        <v>12</v>
      </c>
      <c r="AC12" s="30">
        <f>+AA12+0</f>
        <v>922</v>
      </c>
      <c r="AD12" s="29">
        <f>+AB12+0</f>
        <v>12</v>
      </c>
      <c r="AE12" s="30">
        <f>+AC12+0</f>
        <v>922</v>
      </c>
      <c r="AF12" s="29">
        <f>+AD12+0</f>
        <v>12</v>
      </c>
      <c r="AG12" s="30">
        <f>+AE12+0</f>
        <v>922</v>
      </c>
      <c r="AH12" s="29">
        <f>+AF12-1</f>
        <v>11</v>
      </c>
      <c r="AI12" s="30">
        <f>+AG12+0-56-65</f>
        <v>801</v>
      </c>
      <c r="AJ12" s="29">
        <f>+AH12-1</f>
        <v>10</v>
      </c>
      <c r="AK12" s="30">
        <f>+AI12-102</f>
        <v>699</v>
      </c>
      <c r="AL12" s="29">
        <f>+AJ12+0</f>
        <v>10</v>
      </c>
      <c r="AM12" s="30">
        <f>+AK12+0</f>
        <v>699</v>
      </c>
      <c r="AN12" s="99">
        <f t="shared" si="9"/>
        <v>10</v>
      </c>
      <c r="AO12" s="100">
        <f t="shared" si="10"/>
        <v>699</v>
      </c>
      <c r="AQ12" s="58">
        <v>6</v>
      </c>
      <c r="AR12" s="1">
        <f>+C54</f>
        <v>54</v>
      </c>
      <c r="AS12" s="1">
        <f>+E54</f>
        <v>3408</v>
      </c>
    </row>
    <row r="13" spans="1:45" x14ac:dyDescent="0.25">
      <c r="A13" s="67"/>
      <c r="B13" s="1" t="s">
        <v>7</v>
      </c>
      <c r="C13" s="1">
        <v>6</v>
      </c>
      <c r="D13" s="13">
        <f t="shared" si="0"/>
        <v>2.9556650246305421E-3</v>
      </c>
      <c r="E13" s="1">
        <v>349</v>
      </c>
      <c r="F13" s="13">
        <f t="shared" si="13"/>
        <v>3.6086524940028126E-3</v>
      </c>
      <c r="G13" s="16">
        <f t="shared" si="5"/>
        <v>58.166666666666664</v>
      </c>
      <c r="H13" s="2">
        <v>6</v>
      </c>
      <c r="I13" s="9"/>
      <c r="J13" s="1"/>
      <c r="K13" s="1"/>
      <c r="L13" s="1"/>
      <c r="M13" s="1"/>
      <c r="N13" s="29">
        <v>2</v>
      </c>
      <c r="O13" s="30">
        <f>29+74</f>
        <v>103</v>
      </c>
      <c r="P13" s="29">
        <f>+N13+0</f>
        <v>2</v>
      </c>
      <c r="Q13" s="30">
        <f>+O13+0</f>
        <v>103</v>
      </c>
      <c r="R13" s="29">
        <f t="shared" si="16"/>
        <v>2</v>
      </c>
      <c r="S13" s="30">
        <f t="shared" si="16"/>
        <v>103</v>
      </c>
      <c r="T13" s="29">
        <f t="shared" si="16"/>
        <v>2</v>
      </c>
      <c r="U13" s="30">
        <f t="shared" si="16"/>
        <v>103</v>
      </c>
      <c r="V13" s="29">
        <f>+T13+1</f>
        <v>3</v>
      </c>
      <c r="W13" s="30">
        <f>+U13+101</f>
        <v>204</v>
      </c>
      <c r="X13" s="29">
        <f>+V13+2</f>
        <v>5</v>
      </c>
      <c r="Y13" s="30">
        <f>+W13+21+63</f>
        <v>288</v>
      </c>
      <c r="Z13" s="29">
        <f>+X13+0</f>
        <v>5</v>
      </c>
      <c r="AA13" s="30">
        <f>+Y13+0</f>
        <v>288</v>
      </c>
      <c r="AB13" s="29">
        <f>+Z13+0</f>
        <v>5</v>
      </c>
      <c r="AC13" s="30">
        <f>+AA13+0</f>
        <v>288</v>
      </c>
      <c r="AD13" s="29">
        <f>+AB13+1</f>
        <v>6</v>
      </c>
      <c r="AE13" s="30">
        <f>+AC13+61</f>
        <v>349</v>
      </c>
      <c r="AF13" s="29">
        <f>+AD13+0</f>
        <v>6</v>
      </c>
      <c r="AG13" s="30">
        <f>+AE13+0</f>
        <v>349</v>
      </c>
      <c r="AH13" s="29">
        <f t="shared" ref="AH13:AK14" si="17">+AF13+0</f>
        <v>6</v>
      </c>
      <c r="AI13" s="30">
        <f t="shared" si="17"/>
        <v>349</v>
      </c>
      <c r="AJ13" s="29">
        <f t="shared" si="17"/>
        <v>6</v>
      </c>
      <c r="AK13" s="30">
        <f t="shared" si="17"/>
        <v>349</v>
      </c>
      <c r="AL13" s="29">
        <f t="shared" si="15"/>
        <v>6</v>
      </c>
      <c r="AM13" s="30">
        <f>+AK13+0</f>
        <v>349</v>
      </c>
      <c r="AN13" s="99">
        <f t="shared" si="9"/>
        <v>6</v>
      </c>
      <c r="AO13" s="100">
        <f t="shared" si="10"/>
        <v>349</v>
      </c>
      <c r="AQ13" s="103">
        <v>7</v>
      </c>
      <c r="AR13" s="104">
        <f>+C79</f>
        <v>491</v>
      </c>
      <c r="AS13" s="104">
        <f>+E79</f>
        <v>21238</v>
      </c>
    </row>
    <row r="14" spans="1:45" x14ac:dyDescent="0.25">
      <c r="A14" s="68"/>
      <c r="B14" s="1" t="s">
        <v>8</v>
      </c>
      <c r="C14" s="1">
        <v>1</v>
      </c>
      <c r="D14" s="13">
        <f t="shared" si="0"/>
        <v>4.9261083743842361E-4</v>
      </c>
      <c r="E14" s="1">
        <v>41</v>
      </c>
      <c r="F14" s="13">
        <f t="shared" si="13"/>
        <v>4.2393911820663412E-4</v>
      </c>
      <c r="G14" s="16">
        <f t="shared" si="5"/>
        <v>41</v>
      </c>
      <c r="H14" s="2">
        <v>1</v>
      </c>
      <c r="I14" s="9"/>
      <c r="J14" s="1"/>
      <c r="K14" s="1"/>
      <c r="L14" s="1"/>
      <c r="M14" s="1"/>
      <c r="N14" s="29">
        <f>2</f>
        <v>2</v>
      </c>
      <c r="O14" s="30">
        <f>50+94</f>
        <v>144</v>
      </c>
      <c r="P14" s="29">
        <f>+N14+4</f>
        <v>6</v>
      </c>
      <c r="Q14" s="30">
        <f>+O14+27+51+44+21</f>
        <v>287</v>
      </c>
      <c r="R14" s="29">
        <f t="shared" si="16"/>
        <v>6</v>
      </c>
      <c r="S14" s="30">
        <f t="shared" si="16"/>
        <v>287</v>
      </c>
      <c r="T14" s="29">
        <f t="shared" si="16"/>
        <v>6</v>
      </c>
      <c r="U14" s="30">
        <f t="shared" si="16"/>
        <v>287</v>
      </c>
      <c r="V14" s="29">
        <f>+T14+0-3</f>
        <v>3</v>
      </c>
      <c r="W14" s="30">
        <f>+U14+0-50-94-51</f>
        <v>92</v>
      </c>
      <c r="X14" s="29">
        <f>+V14+0</f>
        <v>3</v>
      </c>
      <c r="Y14" s="30">
        <f>+W14+0</f>
        <v>92</v>
      </c>
      <c r="Z14" s="29">
        <f>+X14+1-1</f>
        <v>3</v>
      </c>
      <c r="AA14" s="30">
        <f>+Y14+41-44</f>
        <v>89</v>
      </c>
      <c r="AB14" s="29">
        <f>+Z14+0</f>
        <v>3</v>
      </c>
      <c r="AC14" s="30">
        <f>+AA14+0</f>
        <v>89</v>
      </c>
      <c r="AD14" s="29">
        <f>+AB14-0</f>
        <v>3</v>
      </c>
      <c r="AE14" s="30">
        <f>+AC14+0</f>
        <v>89</v>
      </c>
      <c r="AF14" s="29">
        <f>+AD14+0-1</f>
        <v>2</v>
      </c>
      <c r="AG14" s="30">
        <f>+AE14+0-21</f>
        <v>68</v>
      </c>
      <c r="AH14" s="29">
        <f>+AF14+0-1</f>
        <v>1</v>
      </c>
      <c r="AI14" s="30">
        <f>+AG14+0-27</f>
        <v>41</v>
      </c>
      <c r="AJ14" s="29">
        <f t="shared" si="17"/>
        <v>1</v>
      </c>
      <c r="AK14" s="30">
        <f t="shared" si="17"/>
        <v>41</v>
      </c>
      <c r="AL14" s="29">
        <f t="shared" si="15"/>
        <v>1</v>
      </c>
      <c r="AM14" s="30">
        <f>+AK14+0</f>
        <v>41</v>
      </c>
      <c r="AN14" s="99">
        <f t="shared" si="9"/>
        <v>1</v>
      </c>
      <c r="AO14" s="100">
        <f t="shared" si="10"/>
        <v>41</v>
      </c>
      <c r="AQ14" s="103">
        <v>16</v>
      </c>
      <c r="AR14" s="104">
        <f>+C93</f>
        <v>463</v>
      </c>
      <c r="AS14" s="104">
        <f>+E93</f>
        <v>20452</v>
      </c>
    </row>
    <row r="15" spans="1:45" x14ac:dyDescent="0.25">
      <c r="A15" s="73" t="s">
        <v>6</v>
      </c>
      <c r="B15" s="74"/>
      <c r="C15" s="21">
        <f>SUM(C11:C14)</f>
        <v>23</v>
      </c>
      <c r="D15" s="14">
        <f t="shared" si="0"/>
        <v>1.1330049261083743E-2</v>
      </c>
      <c r="E15" s="21">
        <f>SUM(E11:E14)</f>
        <v>1201</v>
      </c>
      <c r="F15" s="14">
        <f t="shared" si="13"/>
        <v>1.2418314169906526E-2</v>
      </c>
      <c r="G15" s="17">
        <f t="shared" si="5"/>
        <v>52.217391304347828</v>
      </c>
      <c r="H15" s="18">
        <f>SUM(H11:H14)</f>
        <v>23</v>
      </c>
      <c r="I15" s="63">
        <f>+H15/$C$15</f>
        <v>1</v>
      </c>
      <c r="J15" s="21">
        <f>SUM(J11:J14)</f>
        <v>0</v>
      </c>
      <c r="K15" s="63">
        <f>+J15/$C$15</f>
        <v>0</v>
      </c>
      <c r="L15" s="21">
        <f>SUM(L11:L14)</f>
        <v>0</v>
      </c>
      <c r="M15" s="63">
        <f>+L15/$C$15</f>
        <v>0</v>
      </c>
      <c r="N15" s="24">
        <f t="shared" ref="N15:AL15" si="18">SUM(N11:N14)</f>
        <v>12</v>
      </c>
      <c r="O15" s="27">
        <f t="shared" si="18"/>
        <v>874</v>
      </c>
      <c r="P15" s="24">
        <f t="shared" si="18"/>
        <v>19</v>
      </c>
      <c r="Q15" s="27">
        <f t="shared" si="18"/>
        <v>1258</v>
      </c>
      <c r="R15" s="24">
        <f t="shared" si="18"/>
        <v>19</v>
      </c>
      <c r="S15" s="27">
        <f>SUM(S11:S14)</f>
        <v>1258</v>
      </c>
      <c r="T15" s="24">
        <f t="shared" si="18"/>
        <v>19</v>
      </c>
      <c r="U15" s="27">
        <f>SUM(U11:U14)</f>
        <v>1258</v>
      </c>
      <c r="V15" s="24">
        <f t="shared" si="18"/>
        <v>18</v>
      </c>
      <c r="W15" s="27">
        <f>SUM(W11:W14)</f>
        <v>1273</v>
      </c>
      <c r="X15" s="24">
        <f t="shared" si="18"/>
        <v>20</v>
      </c>
      <c r="Y15" s="27">
        <f>SUM(Y11:Y14)</f>
        <v>1375</v>
      </c>
      <c r="Z15" s="24">
        <f t="shared" si="18"/>
        <v>20</v>
      </c>
      <c r="AA15" s="27">
        <f>SUM(AA11:AA14)</f>
        <v>1411</v>
      </c>
      <c r="AB15" s="24">
        <f t="shared" si="18"/>
        <v>24</v>
      </c>
      <c r="AC15" s="27">
        <f>SUM(AC11:AC14)</f>
        <v>1411</v>
      </c>
      <c r="AD15" s="24">
        <f t="shared" si="18"/>
        <v>26</v>
      </c>
      <c r="AE15" s="27">
        <f>SUM(AE11:AE14)</f>
        <v>1472</v>
      </c>
      <c r="AF15" s="24">
        <f t="shared" si="18"/>
        <v>26</v>
      </c>
      <c r="AG15" s="27">
        <f>SUM(AG11:AG14)</f>
        <v>1451</v>
      </c>
      <c r="AH15" s="24">
        <f t="shared" si="18"/>
        <v>24</v>
      </c>
      <c r="AI15" s="27">
        <f>SUM(AI11:AI14)</f>
        <v>1303</v>
      </c>
      <c r="AJ15" s="24">
        <f t="shared" si="18"/>
        <v>23</v>
      </c>
      <c r="AK15" s="27">
        <f>SUM(AK11:AK14)</f>
        <v>1201</v>
      </c>
      <c r="AL15" s="24">
        <f t="shared" si="18"/>
        <v>23</v>
      </c>
      <c r="AM15" s="27">
        <f>SUM(AM11:AM14)</f>
        <v>1201</v>
      </c>
      <c r="AN15" s="24">
        <f t="shared" si="9"/>
        <v>23</v>
      </c>
      <c r="AO15" s="27">
        <f t="shared" si="10"/>
        <v>1201</v>
      </c>
      <c r="AQ15" s="103">
        <v>8</v>
      </c>
      <c r="AR15" s="104">
        <f>+C108</f>
        <v>449</v>
      </c>
      <c r="AS15" s="104">
        <f>+E108</f>
        <v>22022</v>
      </c>
    </row>
    <row r="16" spans="1:45" x14ac:dyDescent="0.25">
      <c r="A16" s="66">
        <v>5</v>
      </c>
      <c r="B16" s="1" t="s">
        <v>9</v>
      </c>
      <c r="C16" s="1">
        <v>4</v>
      </c>
      <c r="D16" s="13">
        <f t="shared" si="0"/>
        <v>1.9704433497536944E-3</v>
      </c>
      <c r="E16" s="1">
        <v>241</v>
      </c>
      <c r="F16" s="13">
        <f t="shared" si="13"/>
        <v>2.4919348167755811E-3</v>
      </c>
      <c r="G16" s="16">
        <f t="shared" si="5"/>
        <v>60.25</v>
      </c>
      <c r="H16" s="2">
        <v>4</v>
      </c>
      <c r="I16" s="9"/>
      <c r="J16" s="1"/>
      <c r="K16" s="1"/>
      <c r="L16" s="1"/>
      <c r="M16" s="1"/>
      <c r="N16" s="29">
        <v>4</v>
      </c>
      <c r="O16" s="30">
        <f>139+50+27+25</f>
        <v>241</v>
      </c>
      <c r="P16" s="29">
        <f t="shared" ref="P16:AE16" si="19">+N16+0</f>
        <v>4</v>
      </c>
      <c r="Q16" s="30">
        <f t="shared" si="19"/>
        <v>241</v>
      </c>
      <c r="R16" s="29">
        <f t="shared" si="19"/>
        <v>4</v>
      </c>
      <c r="S16" s="30">
        <f t="shared" si="19"/>
        <v>241</v>
      </c>
      <c r="T16" s="29">
        <f t="shared" si="19"/>
        <v>4</v>
      </c>
      <c r="U16" s="30">
        <f t="shared" si="19"/>
        <v>241</v>
      </c>
      <c r="V16" s="29">
        <f t="shared" si="19"/>
        <v>4</v>
      </c>
      <c r="W16" s="30">
        <f t="shared" si="19"/>
        <v>241</v>
      </c>
      <c r="X16" s="29">
        <f t="shared" si="19"/>
        <v>4</v>
      </c>
      <c r="Y16" s="30">
        <f t="shared" si="19"/>
        <v>241</v>
      </c>
      <c r="Z16" s="29">
        <f t="shared" si="19"/>
        <v>4</v>
      </c>
      <c r="AA16" s="30">
        <f t="shared" si="19"/>
        <v>241</v>
      </c>
      <c r="AB16" s="29">
        <f t="shared" si="19"/>
        <v>4</v>
      </c>
      <c r="AC16" s="30">
        <f t="shared" si="19"/>
        <v>241</v>
      </c>
      <c r="AD16" s="29">
        <f t="shared" si="19"/>
        <v>4</v>
      </c>
      <c r="AE16" s="30">
        <f t="shared" si="19"/>
        <v>241</v>
      </c>
      <c r="AF16" s="29">
        <f t="shared" ref="AF16:AF23" si="20">+AD16+0</f>
        <v>4</v>
      </c>
      <c r="AG16" s="30">
        <f>+AE16+0</f>
        <v>241</v>
      </c>
      <c r="AH16" s="29">
        <f>+AF16+0</f>
        <v>4</v>
      </c>
      <c r="AI16" s="30">
        <f>+AG16+0</f>
        <v>241</v>
      </c>
      <c r="AJ16" s="29">
        <f>+AH16+0</f>
        <v>4</v>
      </c>
      <c r="AK16" s="30">
        <f>+AI16+0</f>
        <v>241</v>
      </c>
      <c r="AL16" s="29">
        <f t="shared" si="15"/>
        <v>4</v>
      </c>
      <c r="AM16" s="30">
        <f t="shared" ref="AM16:AM23" si="21">+AK16+0</f>
        <v>241</v>
      </c>
      <c r="AN16" s="99">
        <f t="shared" si="9"/>
        <v>4</v>
      </c>
      <c r="AO16" s="100">
        <f t="shared" si="10"/>
        <v>241</v>
      </c>
      <c r="AQ16" s="103">
        <v>9</v>
      </c>
      <c r="AR16" s="104">
        <f>+C130</f>
        <v>210</v>
      </c>
      <c r="AS16" s="104">
        <f>+E130</f>
        <v>11740</v>
      </c>
    </row>
    <row r="17" spans="1:16305" x14ac:dyDescent="0.25">
      <c r="A17" s="67"/>
      <c r="B17" s="1" t="s">
        <v>10</v>
      </c>
      <c r="C17" s="1">
        <v>18</v>
      </c>
      <c r="D17" s="13">
        <f t="shared" si="0"/>
        <v>8.8669950738916262E-3</v>
      </c>
      <c r="E17" s="1">
        <v>973</v>
      </c>
      <c r="F17" s="13">
        <f t="shared" si="13"/>
        <v>1.0060799073537926E-2</v>
      </c>
      <c r="G17" s="16">
        <f t="shared" si="5"/>
        <v>54.055555555555557</v>
      </c>
      <c r="H17" s="2">
        <v>12</v>
      </c>
      <c r="I17" s="9"/>
      <c r="J17" s="1">
        <v>6</v>
      </c>
      <c r="K17" s="1"/>
      <c r="L17" s="1"/>
      <c r="M17" s="1"/>
      <c r="N17" s="29">
        <v>14</v>
      </c>
      <c r="O17" s="30">
        <f>81+23+54+27+78+16+16+8+28+28+39+27+43+47+61+35+46+31+41+30</f>
        <v>759</v>
      </c>
      <c r="P17" s="29">
        <f t="shared" ref="P17:S20" si="22">+N17+0</f>
        <v>14</v>
      </c>
      <c r="Q17" s="30">
        <f t="shared" si="22"/>
        <v>759</v>
      </c>
      <c r="R17" s="29">
        <f t="shared" si="22"/>
        <v>14</v>
      </c>
      <c r="S17" s="30">
        <f t="shared" si="22"/>
        <v>759</v>
      </c>
      <c r="T17" s="29">
        <f>+R17+3-1</f>
        <v>16</v>
      </c>
      <c r="U17" s="30">
        <f>+S17+20+60+35+20+17-27</f>
        <v>884</v>
      </c>
      <c r="V17" s="29">
        <f t="shared" ref="V17:W23" si="23">+T17+0</f>
        <v>16</v>
      </c>
      <c r="W17" s="30">
        <f t="shared" si="23"/>
        <v>884</v>
      </c>
      <c r="X17" s="29">
        <f>+V17+2</f>
        <v>18</v>
      </c>
      <c r="Y17" s="30">
        <f>+W17+60+58+13</f>
        <v>1015</v>
      </c>
      <c r="Z17" s="29">
        <f>+X17+0-1</f>
        <v>17</v>
      </c>
      <c r="AA17" s="30">
        <f>+Y17+0-41</f>
        <v>974</v>
      </c>
      <c r="AB17" s="29">
        <f>+Z17+0</f>
        <v>17</v>
      </c>
      <c r="AC17" s="30">
        <f>+AA17+0</f>
        <v>974</v>
      </c>
      <c r="AD17" s="29">
        <f>+AB17+1</f>
        <v>18</v>
      </c>
      <c r="AE17" s="30">
        <f>+AC17+14+14</f>
        <v>1002</v>
      </c>
      <c r="AF17" s="29">
        <f t="shared" si="20"/>
        <v>18</v>
      </c>
      <c r="AG17" s="30">
        <f t="shared" ref="AG17:AI23" si="24">+AE17+0</f>
        <v>1002</v>
      </c>
      <c r="AH17" s="29">
        <f t="shared" si="24"/>
        <v>18</v>
      </c>
      <c r="AI17" s="30">
        <f t="shared" si="24"/>
        <v>1002</v>
      </c>
      <c r="AJ17" s="29">
        <f>+AH17+1</f>
        <v>19</v>
      </c>
      <c r="AK17" s="30">
        <f>+AI17+10</f>
        <v>1012</v>
      </c>
      <c r="AL17" s="29">
        <f>+AJ17+0-1</f>
        <v>18</v>
      </c>
      <c r="AM17" s="30">
        <f>+AK17+0-39</f>
        <v>973</v>
      </c>
      <c r="AN17" s="99">
        <f t="shared" si="9"/>
        <v>18</v>
      </c>
      <c r="AO17" s="100">
        <f t="shared" si="10"/>
        <v>973</v>
      </c>
      <c r="AQ17" s="58">
        <v>10</v>
      </c>
      <c r="AR17" s="1">
        <f>+C150</f>
        <v>60</v>
      </c>
      <c r="AS17" s="1">
        <f>+E150</f>
        <v>2710</v>
      </c>
    </row>
    <row r="18" spans="1:16305" x14ac:dyDescent="0.25">
      <c r="A18" s="67"/>
      <c r="B18" s="1" t="s">
        <v>11</v>
      </c>
      <c r="C18" s="1">
        <v>1</v>
      </c>
      <c r="D18" s="13">
        <f t="shared" si="0"/>
        <v>4.9261083743842361E-4</v>
      </c>
      <c r="E18" s="1">
        <v>41</v>
      </c>
      <c r="F18" s="13">
        <f t="shared" si="13"/>
        <v>4.2393911820663412E-4</v>
      </c>
      <c r="G18" s="16">
        <f t="shared" si="5"/>
        <v>41</v>
      </c>
      <c r="H18" s="2"/>
      <c r="I18" s="9"/>
      <c r="J18" s="1"/>
      <c r="K18" s="1"/>
      <c r="L18" s="1">
        <v>1</v>
      </c>
      <c r="M18" s="1"/>
      <c r="N18" s="29">
        <v>0</v>
      </c>
      <c r="O18" s="30">
        <v>0</v>
      </c>
      <c r="P18" s="29">
        <f t="shared" si="22"/>
        <v>0</v>
      </c>
      <c r="Q18" s="30">
        <f t="shared" si="22"/>
        <v>0</v>
      </c>
      <c r="R18" s="29">
        <f t="shared" si="22"/>
        <v>0</v>
      </c>
      <c r="S18" s="30">
        <f t="shared" si="22"/>
        <v>0</v>
      </c>
      <c r="T18" s="29">
        <f t="shared" ref="T18:U23" si="25">+R18+0</f>
        <v>0</v>
      </c>
      <c r="U18" s="30">
        <f t="shared" si="25"/>
        <v>0</v>
      </c>
      <c r="V18" s="29">
        <f t="shared" si="23"/>
        <v>0</v>
      </c>
      <c r="W18" s="30">
        <f t="shared" si="23"/>
        <v>0</v>
      </c>
      <c r="X18" s="29">
        <f>+V18+1</f>
        <v>1</v>
      </c>
      <c r="Y18" s="30">
        <f>+W18+41</f>
        <v>41</v>
      </c>
      <c r="Z18" s="29">
        <f t="shared" ref="Z18:AA23" si="26">+X18+0</f>
        <v>1</v>
      </c>
      <c r="AA18" s="30">
        <f t="shared" si="26"/>
        <v>41</v>
      </c>
      <c r="AB18" s="29">
        <f>+Z18+0</f>
        <v>1</v>
      </c>
      <c r="AC18" s="30">
        <f>+AA18+0</f>
        <v>41</v>
      </c>
      <c r="AD18" s="29">
        <f t="shared" ref="AD18:AE23" si="27">+AB18+0</f>
        <v>1</v>
      </c>
      <c r="AE18" s="30">
        <f t="shared" si="27"/>
        <v>41</v>
      </c>
      <c r="AF18" s="29">
        <f t="shared" si="20"/>
        <v>1</v>
      </c>
      <c r="AG18" s="30">
        <f t="shared" si="24"/>
        <v>41</v>
      </c>
      <c r="AH18" s="29">
        <f t="shared" si="24"/>
        <v>1</v>
      </c>
      <c r="AI18" s="30">
        <f t="shared" si="24"/>
        <v>41</v>
      </c>
      <c r="AJ18" s="29">
        <f t="shared" ref="AJ18:AK23" si="28">+AH18+0</f>
        <v>1</v>
      </c>
      <c r="AK18" s="30">
        <f t="shared" si="28"/>
        <v>41</v>
      </c>
      <c r="AL18" s="29">
        <f t="shared" si="15"/>
        <v>1</v>
      </c>
      <c r="AM18" s="30">
        <f t="shared" si="21"/>
        <v>41</v>
      </c>
      <c r="AN18" s="99">
        <f t="shared" si="9"/>
        <v>1</v>
      </c>
      <c r="AO18" s="100">
        <f t="shared" si="10"/>
        <v>41</v>
      </c>
      <c r="AQ18" s="58">
        <v>11</v>
      </c>
      <c r="AR18" s="1">
        <f>+C153</f>
        <v>8</v>
      </c>
      <c r="AS18" s="1">
        <f>+E153</f>
        <v>531</v>
      </c>
    </row>
    <row r="19" spans="1:16305" x14ac:dyDescent="0.25">
      <c r="A19" s="67"/>
      <c r="B19" s="1" t="s">
        <v>12</v>
      </c>
      <c r="C19" s="1">
        <v>1</v>
      </c>
      <c r="D19" s="13">
        <f t="shared" si="0"/>
        <v>4.9261083743842361E-4</v>
      </c>
      <c r="E19" s="1">
        <v>20</v>
      </c>
      <c r="F19" s="13">
        <f t="shared" si="13"/>
        <v>2.0679956985689469E-4</v>
      </c>
      <c r="G19" s="16">
        <f t="shared" si="5"/>
        <v>20</v>
      </c>
      <c r="H19" s="2">
        <v>1</v>
      </c>
      <c r="I19" s="9"/>
      <c r="J19" s="1"/>
      <c r="K19" s="1"/>
      <c r="L19" s="1"/>
      <c r="M19" s="1"/>
      <c r="N19" s="29">
        <v>0</v>
      </c>
      <c r="O19" s="30">
        <v>0</v>
      </c>
      <c r="P19" s="29">
        <f t="shared" si="22"/>
        <v>0</v>
      </c>
      <c r="Q19" s="30">
        <f t="shared" si="22"/>
        <v>0</v>
      </c>
      <c r="R19" s="29">
        <f t="shared" si="22"/>
        <v>0</v>
      </c>
      <c r="S19" s="30">
        <f t="shared" si="22"/>
        <v>0</v>
      </c>
      <c r="T19" s="29">
        <f t="shared" si="25"/>
        <v>0</v>
      </c>
      <c r="U19" s="30">
        <f t="shared" si="25"/>
        <v>0</v>
      </c>
      <c r="V19" s="29">
        <f t="shared" si="23"/>
        <v>0</v>
      </c>
      <c r="W19" s="30">
        <f t="shared" si="23"/>
        <v>0</v>
      </c>
      <c r="X19" s="29">
        <f t="shared" ref="X19:Y22" si="29">+V19+0</f>
        <v>0</v>
      </c>
      <c r="Y19" s="30">
        <f t="shared" si="29"/>
        <v>0</v>
      </c>
      <c r="Z19" s="29">
        <f t="shared" si="26"/>
        <v>0</v>
      </c>
      <c r="AA19" s="30">
        <f t="shared" si="26"/>
        <v>0</v>
      </c>
      <c r="AB19" s="29">
        <f>+Z19+1</f>
        <v>1</v>
      </c>
      <c r="AC19" s="30">
        <f>+AA19+20</f>
        <v>20</v>
      </c>
      <c r="AD19" s="29">
        <f t="shared" si="27"/>
        <v>1</v>
      </c>
      <c r="AE19" s="30">
        <f t="shared" si="27"/>
        <v>20</v>
      </c>
      <c r="AF19" s="29">
        <f t="shared" si="20"/>
        <v>1</v>
      </c>
      <c r="AG19" s="30">
        <f t="shared" si="24"/>
        <v>20</v>
      </c>
      <c r="AH19" s="29">
        <f t="shared" si="24"/>
        <v>1</v>
      </c>
      <c r="AI19" s="30">
        <f t="shared" si="24"/>
        <v>20</v>
      </c>
      <c r="AJ19" s="29">
        <f t="shared" si="28"/>
        <v>1</v>
      </c>
      <c r="AK19" s="30">
        <f t="shared" si="28"/>
        <v>20</v>
      </c>
      <c r="AL19" s="29">
        <f t="shared" si="15"/>
        <v>1</v>
      </c>
      <c r="AM19" s="30">
        <f t="shared" si="21"/>
        <v>20</v>
      </c>
      <c r="AN19" s="99">
        <f t="shared" si="9"/>
        <v>1</v>
      </c>
      <c r="AO19" s="100">
        <f t="shared" si="10"/>
        <v>20</v>
      </c>
      <c r="AQ19" s="58">
        <v>12</v>
      </c>
      <c r="AR19" s="1">
        <f>+C157</f>
        <v>3</v>
      </c>
      <c r="AS19" s="1">
        <f>+E157</f>
        <v>153</v>
      </c>
    </row>
    <row r="20" spans="1:16305" ht="15.75" thickBot="1" x14ac:dyDescent="0.3">
      <c r="A20" s="67"/>
      <c r="B20" s="1" t="s">
        <v>156</v>
      </c>
      <c r="C20" s="1">
        <v>0</v>
      </c>
      <c r="D20" s="13">
        <f t="shared" si="0"/>
        <v>0</v>
      </c>
      <c r="E20" s="1">
        <v>0</v>
      </c>
      <c r="F20" s="13">
        <f t="shared" si="13"/>
        <v>0</v>
      </c>
      <c r="G20" s="16" t="str">
        <f t="shared" si="5"/>
        <v/>
      </c>
      <c r="H20" s="2"/>
      <c r="I20" s="9"/>
      <c r="J20" s="1"/>
      <c r="K20" s="1"/>
      <c r="L20" s="1"/>
      <c r="M20" s="1"/>
      <c r="N20" s="29">
        <v>0</v>
      </c>
      <c r="O20" s="30">
        <v>0</v>
      </c>
      <c r="P20" s="29">
        <f t="shared" si="22"/>
        <v>0</v>
      </c>
      <c r="Q20" s="30">
        <f t="shared" si="22"/>
        <v>0</v>
      </c>
      <c r="R20" s="29">
        <f t="shared" si="22"/>
        <v>0</v>
      </c>
      <c r="S20" s="30">
        <f t="shared" si="22"/>
        <v>0</v>
      </c>
      <c r="T20" s="29">
        <f t="shared" si="25"/>
        <v>0</v>
      </c>
      <c r="U20" s="30">
        <f t="shared" si="25"/>
        <v>0</v>
      </c>
      <c r="V20" s="29">
        <f t="shared" si="23"/>
        <v>0</v>
      </c>
      <c r="W20" s="30">
        <f t="shared" si="23"/>
        <v>0</v>
      </c>
      <c r="X20" s="29">
        <f t="shared" si="29"/>
        <v>0</v>
      </c>
      <c r="Y20" s="30">
        <f t="shared" si="29"/>
        <v>0</v>
      </c>
      <c r="Z20" s="29">
        <f t="shared" si="26"/>
        <v>0</v>
      </c>
      <c r="AA20" s="30">
        <f t="shared" si="26"/>
        <v>0</v>
      </c>
      <c r="AB20" s="29">
        <f t="shared" ref="AB20:AC23" si="30">+Z20+0</f>
        <v>0</v>
      </c>
      <c r="AC20" s="30">
        <f t="shared" si="30"/>
        <v>0</v>
      </c>
      <c r="AD20" s="29">
        <f t="shared" si="27"/>
        <v>0</v>
      </c>
      <c r="AE20" s="30">
        <f t="shared" si="27"/>
        <v>0</v>
      </c>
      <c r="AF20" s="29">
        <f t="shared" si="20"/>
        <v>0</v>
      </c>
      <c r="AG20" s="30">
        <f t="shared" si="24"/>
        <v>0</v>
      </c>
      <c r="AH20" s="29">
        <f t="shared" si="24"/>
        <v>0</v>
      </c>
      <c r="AI20" s="30">
        <f t="shared" si="24"/>
        <v>0</v>
      </c>
      <c r="AJ20" s="29">
        <f>+AH20+0</f>
        <v>0</v>
      </c>
      <c r="AK20" s="30">
        <f>+AI20+0</f>
        <v>0</v>
      </c>
      <c r="AL20" s="31">
        <f t="shared" si="15"/>
        <v>0</v>
      </c>
      <c r="AM20" s="32">
        <f t="shared" si="21"/>
        <v>0</v>
      </c>
      <c r="AN20" s="95">
        <f>+AL20+0</f>
        <v>0</v>
      </c>
      <c r="AO20" s="96">
        <f>+AM20+0</f>
        <v>0</v>
      </c>
      <c r="AQ20" s="58">
        <v>14</v>
      </c>
      <c r="AR20" s="1">
        <f>+C138</f>
        <v>97</v>
      </c>
      <c r="AS20" s="1">
        <f>+E138</f>
        <v>5870</v>
      </c>
    </row>
    <row r="21" spans="1:16305" x14ac:dyDescent="0.25">
      <c r="A21" s="67"/>
      <c r="B21" s="1" t="s">
        <v>167</v>
      </c>
      <c r="C21" s="1">
        <v>0</v>
      </c>
      <c r="D21" s="13">
        <f t="shared" si="0"/>
        <v>0</v>
      </c>
      <c r="E21" s="1">
        <v>0</v>
      </c>
      <c r="F21" s="13">
        <f t="shared" si="13"/>
        <v>0</v>
      </c>
      <c r="G21" s="16" t="str">
        <f>IF(C21=0,"",E21/C21)</f>
        <v/>
      </c>
      <c r="H21" s="2"/>
      <c r="I21" s="9"/>
      <c r="J21" s="1"/>
      <c r="K21" s="1"/>
      <c r="L21" s="1"/>
      <c r="M21" s="1"/>
      <c r="N21" s="29">
        <v>0</v>
      </c>
      <c r="O21" s="30">
        <v>0</v>
      </c>
      <c r="P21" s="29">
        <f t="shared" ref="P21:W21" si="31">+N21+0</f>
        <v>0</v>
      </c>
      <c r="Q21" s="30">
        <f t="shared" si="31"/>
        <v>0</v>
      </c>
      <c r="R21" s="29">
        <f t="shared" si="31"/>
        <v>0</v>
      </c>
      <c r="S21" s="30">
        <f t="shared" si="31"/>
        <v>0</v>
      </c>
      <c r="T21" s="29">
        <f t="shared" si="31"/>
        <v>0</v>
      </c>
      <c r="U21" s="30">
        <f t="shared" si="31"/>
        <v>0</v>
      </c>
      <c r="V21" s="29">
        <f t="shared" si="31"/>
        <v>0</v>
      </c>
      <c r="W21" s="30">
        <f t="shared" si="31"/>
        <v>0</v>
      </c>
      <c r="X21" s="29">
        <f t="shared" si="29"/>
        <v>0</v>
      </c>
      <c r="Y21" s="30">
        <f t="shared" si="29"/>
        <v>0</v>
      </c>
      <c r="Z21" s="29">
        <f>+X21+0</f>
        <v>0</v>
      </c>
      <c r="AA21" s="30">
        <f>+Y21+0</f>
        <v>0</v>
      </c>
      <c r="AB21" s="29">
        <f t="shared" si="30"/>
        <v>0</v>
      </c>
      <c r="AC21" s="30">
        <f t="shared" si="30"/>
        <v>0</v>
      </c>
      <c r="AD21" s="29">
        <f t="shared" ref="AD21:AI21" si="32">+AB21+0</f>
        <v>0</v>
      </c>
      <c r="AE21" s="30">
        <f t="shared" si="32"/>
        <v>0</v>
      </c>
      <c r="AF21" s="29">
        <f t="shared" si="32"/>
        <v>0</v>
      </c>
      <c r="AG21" s="30">
        <f t="shared" si="32"/>
        <v>0</v>
      </c>
      <c r="AH21" s="29">
        <f t="shared" si="32"/>
        <v>0</v>
      </c>
      <c r="AI21" s="30">
        <f t="shared" si="32"/>
        <v>0</v>
      </c>
      <c r="AJ21" s="29">
        <f>+AH21+0</f>
        <v>0</v>
      </c>
      <c r="AK21" s="30">
        <f>+AI21+0</f>
        <v>0</v>
      </c>
      <c r="AL21" s="31">
        <f>+AJ21+0</f>
        <v>0</v>
      </c>
      <c r="AM21" s="32">
        <f>+AK21+0</f>
        <v>0</v>
      </c>
      <c r="AN21" s="95">
        <f>+AL21+0</f>
        <v>0</v>
      </c>
      <c r="AO21" s="96">
        <f>+AM21+0</f>
        <v>0</v>
      </c>
      <c r="AQ21" s="60" t="s">
        <v>128</v>
      </c>
      <c r="AR21" s="61">
        <f>SUM(AR5:AR20)</f>
        <v>2030</v>
      </c>
      <c r="AS21" s="61">
        <f>SUM(AS5:AS20)</f>
        <v>96712</v>
      </c>
    </row>
    <row r="22" spans="1:16305" x14ac:dyDescent="0.25">
      <c r="A22" s="67"/>
      <c r="B22" s="1" t="s">
        <v>13</v>
      </c>
      <c r="C22" s="1">
        <v>5</v>
      </c>
      <c r="D22" s="13">
        <f t="shared" si="0"/>
        <v>2.4630541871921183E-3</v>
      </c>
      <c r="E22" s="1">
        <f>18+27+56+56+24+24+24+24</f>
        <v>253</v>
      </c>
      <c r="F22" s="13">
        <f t="shared" si="13"/>
        <v>2.616014558689718E-3</v>
      </c>
      <c r="G22" s="16">
        <f t="shared" si="5"/>
        <v>50.6</v>
      </c>
      <c r="H22" s="2">
        <v>2</v>
      </c>
      <c r="I22" s="9"/>
      <c r="J22" s="1">
        <v>3</v>
      </c>
      <c r="K22" s="1"/>
      <c r="L22" s="1"/>
      <c r="M22" s="1"/>
      <c r="N22" s="29">
        <v>2</v>
      </c>
      <c r="O22" s="30">
        <f>18+27</f>
        <v>45</v>
      </c>
      <c r="P22" s="29">
        <f>+N22+3</f>
        <v>5</v>
      </c>
      <c r="Q22" s="30">
        <f>+O22+56+56+24+24+24+24</f>
        <v>253</v>
      </c>
      <c r="R22" s="29">
        <f>+P22+0</f>
        <v>5</v>
      </c>
      <c r="S22" s="30">
        <f>+Q22+0</f>
        <v>253</v>
      </c>
      <c r="T22" s="29">
        <f t="shared" si="25"/>
        <v>5</v>
      </c>
      <c r="U22" s="30">
        <f t="shared" si="25"/>
        <v>253</v>
      </c>
      <c r="V22" s="29">
        <f t="shared" si="23"/>
        <v>5</v>
      </c>
      <c r="W22" s="30">
        <f t="shared" si="23"/>
        <v>253</v>
      </c>
      <c r="X22" s="29">
        <f t="shared" si="29"/>
        <v>5</v>
      </c>
      <c r="Y22" s="30">
        <f t="shared" si="29"/>
        <v>253</v>
      </c>
      <c r="Z22" s="29">
        <f t="shared" si="26"/>
        <v>5</v>
      </c>
      <c r="AA22" s="30">
        <f t="shared" si="26"/>
        <v>253</v>
      </c>
      <c r="AB22" s="29">
        <f t="shared" si="30"/>
        <v>5</v>
      </c>
      <c r="AC22" s="30">
        <f t="shared" si="30"/>
        <v>253</v>
      </c>
      <c r="AD22" s="29">
        <f t="shared" si="27"/>
        <v>5</v>
      </c>
      <c r="AE22" s="30">
        <f t="shared" si="27"/>
        <v>253</v>
      </c>
      <c r="AF22" s="29">
        <f t="shared" si="20"/>
        <v>5</v>
      </c>
      <c r="AG22" s="30">
        <f t="shared" si="24"/>
        <v>253</v>
      </c>
      <c r="AH22" s="29">
        <f t="shared" si="24"/>
        <v>5</v>
      </c>
      <c r="AI22" s="30">
        <f t="shared" si="24"/>
        <v>253</v>
      </c>
      <c r="AJ22" s="29">
        <f t="shared" si="28"/>
        <v>5</v>
      </c>
      <c r="AK22" s="30">
        <f t="shared" si="28"/>
        <v>253</v>
      </c>
      <c r="AL22" s="29">
        <f t="shared" si="15"/>
        <v>5</v>
      </c>
      <c r="AM22" s="30">
        <f t="shared" si="21"/>
        <v>253</v>
      </c>
      <c r="AN22" s="99">
        <f t="shared" si="9"/>
        <v>5</v>
      </c>
      <c r="AO22" s="100">
        <f t="shared" si="10"/>
        <v>253</v>
      </c>
    </row>
    <row r="23" spans="1:16305" x14ac:dyDescent="0.25">
      <c r="A23" s="68"/>
      <c r="B23" s="1" t="s">
        <v>14</v>
      </c>
      <c r="C23" s="1">
        <v>1</v>
      </c>
      <c r="D23" s="13">
        <f t="shared" si="0"/>
        <v>4.9261083743842361E-4</v>
      </c>
      <c r="E23" s="1">
        <v>39</v>
      </c>
      <c r="F23" s="13">
        <f t="shared" si="13"/>
        <v>4.0325916122094468E-4</v>
      </c>
      <c r="G23" s="16">
        <f t="shared" si="5"/>
        <v>39</v>
      </c>
      <c r="H23" s="2"/>
      <c r="I23" s="9"/>
      <c r="J23" s="1">
        <v>1</v>
      </c>
      <c r="K23" s="1"/>
      <c r="L23" s="1"/>
      <c r="M23" s="1"/>
      <c r="N23" s="29">
        <v>0</v>
      </c>
      <c r="O23" s="30">
        <v>0</v>
      </c>
      <c r="P23" s="29">
        <f>+N23+0</f>
        <v>0</v>
      </c>
      <c r="Q23" s="30">
        <f>+O23+0</f>
        <v>0</v>
      </c>
      <c r="R23" s="29">
        <f>+P23+0</f>
        <v>0</v>
      </c>
      <c r="S23" s="30">
        <f>+Q23+0</f>
        <v>0</v>
      </c>
      <c r="T23" s="29">
        <f t="shared" si="25"/>
        <v>0</v>
      </c>
      <c r="U23" s="30">
        <f t="shared" si="25"/>
        <v>0</v>
      </c>
      <c r="V23" s="29">
        <f t="shared" si="23"/>
        <v>0</v>
      </c>
      <c r="W23" s="30">
        <f t="shared" si="23"/>
        <v>0</v>
      </c>
      <c r="X23" s="29">
        <f>+V23+1</f>
        <v>1</v>
      </c>
      <c r="Y23" s="30">
        <f>+W23+13+13+13</f>
        <v>39</v>
      </c>
      <c r="Z23" s="29">
        <f t="shared" si="26"/>
        <v>1</v>
      </c>
      <c r="AA23" s="30">
        <f t="shared" si="26"/>
        <v>39</v>
      </c>
      <c r="AB23" s="29">
        <f t="shared" si="30"/>
        <v>1</v>
      </c>
      <c r="AC23" s="30">
        <f t="shared" si="30"/>
        <v>39</v>
      </c>
      <c r="AD23" s="29">
        <f t="shared" si="27"/>
        <v>1</v>
      </c>
      <c r="AE23" s="30">
        <f t="shared" si="27"/>
        <v>39</v>
      </c>
      <c r="AF23" s="29">
        <f t="shared" si="20"/>
        <v>1</v>
      </c>
      <c r="AG23" s="30">
        <f t="shared" si="24"/>
        <v>39</v>
      </c>
      <c r="AH23" s="29">
        <f t="shared" si="24"/>
        <v>1</v>
      </c>
      <c r="AI23" s="30">
        <f t="shared" si="24"/>
        <v>39</v>
      </c>
      <c r="AJ23" s="29">
        <f t="shared" si="28"/>
        <v>1</v>
      </c>
      <c r="AK23" s="30">
        <f t="shared" si="28"/>
        <v>39</v>
      </c>
      <c r="AL23" s="29">
        <f t="shared" si="15"/>
        <v>1</v>
      </c>
      <c r="AM23" s="30">
        <f t="shared" si="21"/>
        <v>39</v>
      </c>
      <c r="AN23" s="99">
        <f t="shared" si="9"/>
        <v>1</v>
      </c>
      <c r="AO23" s="100">
        <f t="shared" si="10"/>
        <v>39</v>
      </c>
    </row>
    <row r="24" spans="1:16305" x14ac:dyDescent="0.25">
      <c r="A24" s="73" t="s">
        <v>14</v>
      </c>
      <c r="B24" s="74"/>
      <c r="C24" s="21">
        <f>SUM(C16:C23)</f>
        <v>30</v>
      </c>
      <c r="D24" s="14">
        <f t="shared" si="0"/>
        <v>1.4778325123152709E-2</v>
      </c>
      <c r="E24" s="21">
        <f>SUM(E16:E23)</f>
        <v>1567</v>
      </c>
      <c r="F24" s="14">
        <f t="shared" si="13"/>
        <v>1.6202746298287701E-2</v>
      </c>
      <c r="G24" s="17">
        <f t="shared" si="5"/>
        <v>52.233333333333334</v>
      </c>
      <c r="H24" s="18">
        <f>SUM(H16:H23)</f>
        <v>19</v>
      </c>
      <c r="I24" s="63">
        <f>+H24/$C$24</f>
        <v>0.6333333333333333</v>
      </c>
      <c r="J24" s="21">
        <f>SUM(J16:J23)</f>
        <v>10</v>
      </c>
      <c r="K24" s="63">
        <f>+J24/$C$24</f>
        <v>0.33333333333333331</v>
      </c>
      <c r="L24" s="21">
        <f>SUM(L16:L23)</f>
        <v>1</v>
      </c>
      <c r="M24" s="63">
        <f>+L24/$C$24</f>
        <v>3.3333333333333333E-2</v>
      </c>
      <c r="N24" s="24">
        <f t="shared" ref="N24:AL24" si="33">SUM(N16:N23)</f>
        <v>20</v>
      </c>
      <c r="O24" s="27">
        <f t="shared" si="33"/>
        <v>1045</v>
      </c>
      <c r="P24" s="24">
        <f t="shared" si="33"/>
        <v>23</v>
      </c>
      <c r="Q24" s="27">
        <f t="shared" si="33"/>
        <v>1253</v>
      </c>
      <c r="R24" s="24">
        <f t="shared" si="33"/>
        <v>23</v>
      </c>
      <c r="S24" s="27">
        <f>SUM(S16:S23)</f>
        <v>1253</v>
      </c>
      <c r="T24" s="24">
        <f t="shared" si="33"/>
        <v>25</v>
      </c>
      <c r="U24" s="27">
        <f>SUM(U16:U23)</f>
        <v>1378</v>
      </c>
      <c r="V24" s="24">
        <f t="shared" si="33"/>
        <v>25</v>
      </c>
      <c r="W24" s="27">
        <f>SUM(W16:W23)</f>
        <v>1378</v>
      </c>
      <c r="X24" s="24">
        <f t="shared" si="33"/>
        <v>29</v>
      </c>
      <c r="Y24" s="27">
        <f>SUM(Y16:Y23)</f>
        <v>1589</v>
      </c>
      <c r="Z24" s="24">
        <f t="shared" si="33"/>
        <v>28</v>
      </c>
      <c r="AA24" s="27">
        <f>SUM(AA16:AA23)</f>
        <v>1548</v>
      </c>
      <c r="AB24" s="24">
        <f t="shared" si="33"/>
        <v>29</v>
      </c>
      <c r="AC24" s="27">
        <f>SUM(AC16:AC23)</f>
        <v>1568</v>
      </c>
      <c r="AD24" s="24">
        <f t="shared" si="33"/>
        <v>30</v>
      </c>
      <c r="AE24" s="27">
        <f>SUM(AE16:AE23)</f>
        <v>1596</v>
      </c>
      <c r="AF24" s="24">
        <f t="shared" si="33"/>
        <v>30</v>
      </c>
      <c r="AG24" s="27">
        <f>SUM(AG16:AG23)</f>
        <v>1596</v>
      </c>
      <c r="AH24" s="24">
        <f t="shared" si="33"/>
        <v>30</v>
      </c>
      <c r="AI24" s="27">
        <f>SUM(AI16:AI23)</f>
        <v>1596</v>
      </c>
      <c r="AJ24" s="24">
        <f t="shared" si="33"/>
        <v>31</v>
      </c>
      <c r="AK24" s="27">
        <f>SUM(AK16:AK23)</f>
        <v>1606</v>
      </c>
      <c r="AL24" s="24">
        <f t="shared" si="33"/>
        <v>30</v>
      </c>
      <c r="AM24" s="27">
        <f>SUM(AM16:AM23)</f>
        <v>1567</v>
      </c>
      <c r="AN24" s="24">
        <f t="shared" si="9"/>
        <v>30</v>
      </c>
      <c r="AO24" s="27">
        <f t="shared" si="10"/>
        <v>1567</v>
      </c>
    </row>
    <row r="25" spans="1:16305" x14ac:dyDescent="0.25">
      <c r="A25" s="66">
        <v>13</v>
      </c>
      <c r="B25" s="1" t="s">
        <v>129</v>
      </c>
      <c r="C25" s="1">
        <v>1</v>
      </c>
      <c r="D25" s="13">
        <f t="shared" si="0"/>
        <v>4.9261083743842361E-4</v>
      </c>
      <c r="E25" s="1">
        <v>17</v>
      </c>
      <c r="F25" s="13">
        <f t="shared" si="13"/>
        <v>1.7577963437836048E-4</v>
      </c>
      <c r="G25" s="16">
        <f t="shared" si="5"/>
        <v>17</v>
      </c>
      <c r="H25" s="2">
        <v>1</v>
      </c>
      <c r="I25" s="9"/>
      <c r="J25" s="1"/>
      <c r="K25" s="1"/>
      <c r="L25" s="1"/>
      <c r="M25" s="1"/>
      <c r="N25" s="29">
        <v>0</v>
      </c>
      <c r="O25" s="30">
        <v>0</v>
      </c>
      <c r="P25" s="29">
        <f t="shared" ref="P25:AE25" si="34">+N25+0</f>
        <v>0</v>
      </c>
      <c r="Q25" s="30">
        <f t="shared" si="34"/>
        <v>0</v>
      </c>
      <c r="R25" s="29">
        <f t="shared" si="34"/>
        <v>0</v>
      </c>
      <c r="S25" s="30">
        <f t="shared" si="34"/>
        <v>0</v>
      </c>
      <c r="T25" s="29">
        <f t="shared" si="34"/>
        <v>0</v>
      </c>
      <c r="U25" s="30">
        <f t="shared" si="34"/>
        <v>0</v>
      </c>
      <c r="V25" s="29">
        <f t="shared" si="34"/>
        <v>0</v>
      </c>
      <c r="W25" s="30">
        <f t="shared" si="34"/>
        <v>0</v>
      </c>
      <c r="X25" s="29">
        <f t="shared" si="34"/>
        <v>0</v>
      </c>
      <c r="Y25" s="30">
        <f t="shared" si="34"/>
        <v>0</v>
      </c>
      <c r="Z25" s="29">
        <f t="shared" si="34"/>
        <v>0</v>
      </c>
      <c r="AA25" s="30">
        <f t="shared" si="34"/>
        <v>0</v>
      </c>
      <c r="AB25" s="29">
        <f t="shared" si="34"/>
        <v>0</v>
      </c>
      <c r="AC25" s="30">
        <f t="shared" si="34"/>
        <v>0</v>
      </c>
      <c r="AD25" s="29">
        <f t="shared" si="34"/>
        <v>0</v>
      </c>
      <c r="AE25" s="30">
        <f t="shared" si="34"/>
        <v>0</v>
      </c>
      <c r="AF25" s="29">
        <f>+AD25+1</f>
        <v>1</v>
      </c>
      <c r="AG25" s="30">
        <f>+AE25+17</f>
        <v>17</v>
      </c>
      <c r="AH25" s="29">
        <f>+AF25+0</f>
        <v>1</v>
      </c>
      <c r="AI25" s="30">
        <f>+AG25+0</f>
        <v>17</v>
      </c>
      <c r="AJ25" s="29">
        <f>+AH25+0</f>
        <v>1</v>
      </c>
      <c r="AK25" s="30">
        <f>+AI25+0</f>
        <v>17</v>
      </c>
      <c r="AL25" s="29">
        <f t="shared" si="15"/>
        <v>1</v>
      </c>
      <c r="AM25" s="30">
        <f>+AK25+0</f>
        <v>17</v>
      </c>
      <c r="AN25" s="99">
        <f t="shared" si="9"/>
        <v>1</v>
      </c>
      <c r="AO25" s="100">
        <f t="shared" si="10"/>
        <v>17</v>
      </c>
    </row>
    <row r="26" spans="1:16305" x14ac:dyDescent="0.25">
      <c r="A26" s="67"/>
      <c r="B26" s="1" t="s">
        <v>15</v>
      </c>
      <c r="C26" s="1">
        <v>10</v>
      </c>
      <c r="D26" s="13">
        <f t="shared" si="0"/>
        <v>4.9261083743842365E-3</v>
      </c>
      <c r="E26" s="1">
        <f>24+21+39+42+116+44+38+37+35+29</f>
        <v>425</v>
      </c>
      <c r="F26" s="13">
        <f t="shared" si="13"/>
        <v>4.3944908594590127E-3</v>
      </c>
      <c r="G26" s="16">
        <f t="shared" si="5"/>
        <v>42.5</v>
      </c>
      <c r="H26" s="2">
        <v>10</v>
      </c>
      <c r="I26" s="9"/>
      <c r="J26" s="1"/>
      <c r="K26" s="1"/>
      <c r="L26" s="1"/>
      <c r="M26" s="1"/>
      <c r="N26" s="29">
        <v>3</v>
      </c>
      <c r="O26" s="30">
        <f>24+21+39</f>
        <v>84</v>
      </c>
      <c r="P26" s="29">
        <f t="shared" ref="P26:S27" si="35">+N26+0</f>
        <v>3</v>
      </c>
      <c r="Q26" s="30">
        <f t="shared" si="35"/>
        <v>84</v>
      </c>
      <c r="R26" s="29">
        <f t="shared" si="35"/>
        <v>3</v>
      </c>
      <c r="S26" s="30">
        <f t="shared" si="35"/>
        <v>84</v>
      </c>
      <c r="T26" s="29">
        <f>+R26+3</f>
        <v>6</v>
      </c>
      <c r="U26" s="30">
        <f>+S26+42+116+44</f>
        <v>286</v>
      </c>
      <c r="V26" s="29">
        <f t="shared" ref="V26:Y28" si="36">+T26+0</f>
        <v>6</v>
      </c>
      <c r="W26" s="30">
        <f t="shared" si="36"/>
        <v>286</v>
      </c>
      <c r="X26" s="29">
        <f t="shared" si="36"/>
        <v>6</v>
      </c>
      <c r="Y26" s="30">
        <f t="shared" si="36"/>
        <v>286</v>
      </c>
      <c r="Z26" s="29">
        <f>+X26+3</f>
        <v>9</v>
      </c>
      <c r="AA26" s="30">
        <f>+Y26+38+37+51</f>
        <v>412</v>
      </c>
      <c r="AB26" s="29">
        <f t="shared" ref="AB26:AE27" si="37">+Z26+0</f>
        <v>9</v>
      </c>
      <c r="AC26" s="30">
        <f t="shared" si="37"/>
        <v>412</v>
      </c>
      <c r="AD26" s="29">
        <f t="shared" si="37"/>
        <v>9</v>
      </c>
      <c r="AE26" s="30">
        <f t="shared" si="37"/>
        <v>412</v>
      </c>
      <c r="AF26" s="29">
        <f>+AD26+1-1</f>
        <v>9</v>
      </c>
      <c r="AG26" s="30">
        <f>+AE26+35-51</f>
        <v>396</v>
      </c>
      <c r="AH26" s="29">
        <f>+AF26+0</f>
        <v>9</v>
      </c>
      <c r="AI26" s="30">
        <f>+AG26+0</f>
        <v>396</v>
      </c>
      <c r="AJ26" s="29">
        <f>+AH26+1</f>
        <v>10</v>
      </c>
      <c r="AK26" s="30">
        <f>+AI26+29</f>
        <v>425</v>
      </c>
      <c r="AL26" s="29">
        <f t="shared" si="15"/>
        <v>10</v>
      </c>
      <c r="AM26" s="30">
        <f>+AK26+0</f>
        <v>425</v>
      </c>
      <c r="AN26" s="99">
        <f t="shared" si="9"/>
        <v>10</v>
      </c>
      <c r="AO26" s="100">
        <f t="shared" si="10"/>
        <v>425</v>
      </c>
    </row>
    <row r="27" spans="1:16305" x14ac:dyDescent="0.25">
      <c r="A27" s="67"/>
      <c r="B27" s="1" t="s">
        <v>157</v>
      </c>
      <c r="C27" s="1">
        <v>0</v>
      </c>
      <c r="D27" s="13">
        <f t="shared" si="0"/>
        <v>0</v>
      </c>
      <c r="E27" s="1">
        <v>0</v>
      </c>
      <c r="F27" s="13">
        <f t="shared" si="13"/>
        <v>0</v>
      </c>
      <c r="G27" s="16" t="str">
        <f t="shared" si="5"/>
        <v/>
      </c>
      <c r="H27" s="2"/>
      <c r="I27" s="9"/>
      <c r="J27" s="1"/>
      <c r="K27" s="1"/>
      <c r="L27" s="1"/>
      <c r="M27" s="1"/>
      <c r="N27" s="29">
        <v>0</v>
      </c>
      <c r="O27" s="30">
        <v>0</v>
      </c>
      <c r="P27" s="29">
        <f t="shared" si="35"/>
        <v>0</v>
      </c>
      <c r="Q27" s="30">
        <f t="shared" si="35"/>
        <v>0</v>
      </c>
      <c r="R27" s="29">
        <f t="shared" si="35"/>
        <v>0</v>
      </c>
      <c r="S27" s="30">
        <f t="shared" si="35"/>
        <v>0</v>
      </c>
      <c r="T27" s="29">
        <f>+R27+0</f>
        <v>0</v>
      </c>
      <c r="U27" s="30">
        <f>+S27+0</f>
        <v>0</v>
      </c>
      <c r="V27" s="29">
        <f t="shared" si="36"/>
        <v>0</v>
      </c>
      <c r="W27" s="30">
        <f t="shared" si="36"/>
        <v>0</v>
      </c>
      <c r="X27" s="29">
        <f t="shared" si="36"/>
        <v>0</v>
      </c>
      <c r="Y27" s="30">
        <f t="shared" si="36"/>
        <v>0</v>
      </c>
      <c r="Z27" s="29">
        <f>+X27+0</f>
        <v>0</v>
      </c>
      <c r="AA27" s="30">
        <f>+Y27+0</f>
        <v>0</v>
      </c>
      <c r="AB27" s="29">
        <f t="shared" si="37"/>
        <v>0</v>
      </c>
      <c r="AC27" s="30">
        <f t="shared" si="37"/>
        <v>0</v>
      </c>
      <c r="AD27" s="29">
        <f t="shared" si="37"/>
        <v>0</v>
      </c>
      <c r="AE27" s="30">
        <f t="shared" si="37"/>
        <v>0</v>
      </c>
      <c r="AF27" s="29">
        <f>+AD27+0</f>
        <v>0</v>
      </c>
      <c r="AG27" s="30">
        <f>+AE27+0</f>
        <v>0</v>
      </c>
      <c r="AH27" s="29">
        <f>+AF27+0</f>
        <v>0</v>
      </c>
      <c r="AI27" s="30">
        <f>+AG27+0</f>
        <v>0</v>
      </c>
      <c r="AJ27" s="29">
        <f>+AH27+0</f>
        <v>0</v>
      </c>
      <c r="AK27" s="30">
        <f>+AI27+0</f>
        <v>0</v>
      </c>
      <c r="AL27" s="31">
        <f>+AJ27+0</f>
        <v>0</v>
      </c>
      <c r="AM27" s="32">
        <f>+AK27+0</f>
        <v>0</v>
      </c>
      <c r="AN27" s="95">
        <f t="shared" si="9"/>
        <v>0</v>
      </c>
      <c r="AO27" s="96">
        <f t="shared" si="10"/>
        <v>0</v>
      </c>
    </row>
    <row r="28" spans="1:16305" x14ac:dyDescent="0.25">
      <c r="A28" s="67"/>
      <c r="B28" s="1" t="s">
        <v>16</v>
      </c>
      <c r="C28" s="1">
        <v>10</v>
      </c>
      <c r="D28" s="13">
        <f t="shared" si="0"/>
        <v>4.9261083743842365E-3</v>
      </c>
      <c r="E28" s="1">
        <f>35+30+69+70+25+19+10+9+9+18+2</f>
        <v>296</v>
      </c>
      <c r="F28" s="13">
        <f t="shared" ref="F28:F33" si="38">+E28/$E$158</f>
        <v>3.0606336338820416E-3</v>
      </c>
      <c r="G28" s="16">
        <f t="shared" si="5"/>
        <v>29.6</v>
      </c>
      <c r="H28" s="2">
        <v>9</v>
      </c>
      <c r="I28" s="9"/>
      <c r="J28" s="1">
        <v>1</v>
      </c>
      <c r="K28" s="1"/>
      <c r="L28" s="1"/>
      <c r="M28" s="1"/>
      <c r="N28" s="29">
        <v>6</v>
      </c>
      <c r="O28" s="30">
        <f>35+30+101+69+140+138</f>
        <v>513</v>
      </c>
      <c r="P28" s="29">
        <f>+N28+1</f>
        <v>7</v>
      </c>
      <c r="Q28" s="30">
        <f>+O28+70</f>
        <v>583</v>
      </c>
      <c r="R28" s="29">
        <f t="shared" ref="R28:R34" si="39">+P28+0</f>
        <v>7</v>
      </c>
      <c r="S28" s="30">
        <f>+Q28+0</f>
        <v>583</v>
      </c>
      <c r="T28" s="29">
        <f>+R28+0-1</f>
        <v>6</v>
      </c>
      <c r="U28" s="30">
        <f>+S28+0-138</f>
        <v>445</v>
      </c>
      <c r="V28" s="29">
        <f t="shared" si="36"/>
        <v>6</v>
      </c>
      <c r="W28" s="30">
        <f t="shared" si="36"/>
        <v>445</v>
      </c>
      <c r="X28" s="29">
        <f t="shared" si="36"/>
        <v>6</v>
      </c>
      <c r="Y28" s="30">
        <f t="shared" si="36"/>
        <v>445</v>
      </c>
      <c r="Z28" s="29">
        <f>+X28+0-1</f>
        <v>5</v>
      </c>
      <c r="AA28" s="30">
        <f>+Y28+0-101</f>
        <v>344</v>
      </c>
      <c r="AB28" s="29">
        <f>+Z28+0</f>
        <v>5</v>
      </c>
      <c r="AC28" s="30">
        <f>+AA28+0</f>
        <v>344</v>
      </c>
      <c r="AD28" s="29">
        <f>+AB28+0-1</f>
        <v>4</v>
      </c>
      <c r="AE28" s="30">
        <f>+AC28+0-140</f>
        <v>204</v>
      </c>
      <c r="AF28" s="29">
        <f>+AD28+3</f>
        <v>7</v>
      </c>
      <c r="AG28" s="30">
        <f>+AE28+25+19+10+8</f>
        <v>266</v>
      </c>
      <c r="AH28" s="29">
        <f>+AF28+2-1</f>
        <v>8</v>
      </c>
      <c r="AI28" s="30">
        <f>+AG28+10+9-8</f>
        <v>277</v>
      </c>
      <c r="AJ28" s="29">
        <f>+AH28+1</f>
        <v>9</v>
      </c>
      <c r="AK28" s="30">
        <f>+AI28+9</f>
        <v>286</v>
      </c>
      <c r="AL28" s="29">
        <f>+AJ28+2-1</f>
        <v>10</v>
      </c>
      <c r="AM28" s="30">
        <f>+AK28+18+2-10</f>
        <v>296</v>
      </c>
      <c r="AN28" s="99">
        <f t="shared" si="9"/>
        <v>10</v>
      </c>
      <c r="AO28" s="100">
        <f t="shared" si="10"/>
        <v>296</v>
      </c>
    </row>
    <row r="29" spans="1:16305" x14ac:dyDescent="0.25">
      <c r="A29" s="67"/>
      <c r="B29" s="1" t="s">
        <v>17</v>
      </c>
      <c r="C29" s="1">
        <v>25</v>
      </c>
      <c r="D29" s="13">
        <f t="shared" si="0"/>
        <v>1.2315270935960592E-2</v>
      </c>
      <c r="E29" s="1">
        <f>39+53+25+22+18+11+25+50+16+8+70+85+42+22+8+7+35+17+54+35+33+59+63+51+43</f>
        <v>891</v>
      </c>
      <c r="F29" s="13">
        <f t="shared" si="38"/>
        <v>9.212920837124659E-3</v>
      </c>
      <c r="G29" s="16">
        <f t="shared" si="5"/>
        <v>35.64</v>
      </c>
      <c r="H29" s="2">
        <v>25</v>
      </c>
      <c r="I29" s="9"/>
      <c r="J29" s="1"/>
      <c r="K29" s="1"/>
      <c r="L29" s="1"/>
      <c r="M29" s="1"/>
      <c r="N29" s="29">
        <v>9</v>
      </c>
      <c r="O29" s="30">
        <f>114+39+53+56+25+22+36+11+25</f>
        <v>381</v>
      </c>
      <c r="P29" s="29">
        <f>+N29+4</f>
        <v>13</v>
      </c>
      <c r="Q29" s="30">
        <f>+O29+50+16+8+70</f>
        <v>525</v>
      </c>
      <c r="R29" s="29">
        <f>+P29+3</f>
        <v>16</v>
      </c>
      <c r="S29" s="30">
        <f>+Q29+45+45+32</f>
        <v>647</v>
      </c>
      <c r="T29" s="29">
        <f>+R29+11</f>
        <v>27</v>
      </c>
      <c r="U29" s="30">
        <f>+S29+27+17+85+42+22+8+7+35+17+54+35</f>
        <v>996</v>
      </c>
      <c r="V29" s="29">
        <f>+T29+4</f>
        <v>31</v>
      </c>
      <c r="W29" s="30">
        <f>+U29+33+34+32+15+14+59</f>
        <v>1183</v>
      </c>
      <c r="X29" s="29">
        <f>+V29+0</f>
        <v>31</v>
      </c>
      <c r="Y29" s="30">
        <f>+W29+0</f>
        <v>1183</v>
      </c>
      <c r="Z29" s="29">
        <f>+X29+2</f>
        <v>33</v>
      </c>
      <c r="AA29" s="30">
        <f>+Y29+63+51</f>
        <v>1297</v>
      </c>
      <c r="AB29" s="29">
        <f>+Z29+0-2</f>
        <v>31</v>
      </c>
      <c r="AC29" s="30">
        <f>+AA29+0-27-32</f>
        <v>1238</v>
      </c>
      <c r="AD29" s="29">
        <f>+AB29+0-2</f>
        <v>29</v>
      </c>
      <c r="AE29" s="30">
        <f>+AC29+0-56-17</f>
        <v>1165</v>
      </c>
      <c r="AF29" s="29">
        <f>+AD29+0-3</f>
        <v>26</v>
      </c>
      <c r="AG29" s="30">
        <f>+AE29+0-114-45-45</f>
        <v>961</v>
      </c>
      <c r="AH29" s="29">
        <f>+AF29+0</f>
        <v>26</v>
      </c>
      <c r="AI29" s="30">
        <f>+AG29+0</f>
        <v>961</v>
      </c>
      <c r="AJ29" s="29">
        <f>+AH29+1</f>
        <v>27</v>
      </c>
      <c r="AK29" s="30">
        <f>+AI29+43-18</f>
        <v>986</v>
      </c>
      <c r="AL29" s="29">
        <f>+AJ29+0-2</f>
        <v>25</v>
      </c>
      <c r="AM29" s="30">
        <f>+AK29+0-34-32-15-14</f>
        <v>891</v>
      </c>
      <c r="AN29" s="99">
        <f t="shared" si="9"/>
        <v>25</v>
      </c>
      <c r="AO29" s="100">
        <f t="shared" si="10"/>
        <v>891</v>
      </c>
    </row>
    <row r="30" spans="1:16305" s="56" customFormat="1" x14ac:dyDescent="0.25">
      <c r="A30" s="67"/>
      <c r="B30" s="1" t="s">
        <v>18</v>
      </c>
      <c r="C30" s="1">
        <v>63</v>
      </c>
      <c r="D30" s="13">
        <f t="shared" si="0"/>
        <v>3.1034482758620689E-2</v>
      </c>
      <c r="E30" s="1">
        <f>32+30+51+86+54+70+61+30+22+117+22+38+49+63+74+69+67+32+16+49+22+15+18+29+10+39+81+30+27+30+49+63+32+51+40+21+10+17+17+17+8+11+12+32+35+66+66+12+30+43+21+19+17+89+5+40+26+41+25+54+17+29+51+3</f>
        <v>2402</v>
      </c>
      <c r="F30" s="13">
        <f t="shared" si="38"/>
        <v>2.4836628339813052E-2</v>
      </c>
      <c r="G30" s="16">
        <f t="shared" si="5"/>
        <v>38.126984126984127</v>
      </c>
      <c r="H30" s="2">
        <v>63</v>
      </c>
      <c r="I30" s="9"/>
      <c r="J30" s="1"/>
      <c r="K30" s="1"/>
      <c r="L30" s="1"/>
      <c r="M30" s="1"/>
      <c r="N30" s="29">
        <v>22</v>
      </c>
      <c r="O30" s="30">
        <f>57+32+30+51+86+54+70+61+30+22+117+22+38+49+63+74+69+67+32+16+49+50</f>
        <v>1139</v>
      </c>
      <c r="P30" s="29">
        <f>+N30+2</f>
        <v>24</v>
      </c>
      <c r="Q30" s="30">
        <f>+O30+22+15</f>
        <v>1176</v>
      </c>
      <c r="R30" s="29">
        <f t="shared" si="39"/>
        <v>24</v>
      </c>
      <c r="S30" s="30">
        <f>+Q30+0</f>
        <v>1176</v>
      </c>
      <c r="T30" s="29">
        <f>+R30+21</f>
        <v>45</v>
      </c>
      <c r="U30" s="30">
        <f>+S30+18+29+10+39+81+30+27+30+49+63+32+51+40+21+10+17+17+17+8+11+12+32</f>
        <v>1820</v>
      </c>
      <c r="V30" s="29">
        <f>+T30+0</f>
        <v>45</v>
      </c>
      <c r="W30" s="30">
        <f>+U30+0</f>
        <v>1820</v>
      </c>
      <c r="X30" s="29">
        <f>+V30+1</f>
        <v>46</v>
      </c>
      <c r="Y30" s="30">
        <f>+W30+35</f>
        <v>1855</v>
      </c>
      <c r="Z30" s="29">
        <f>+X30+0</f>
        <v>46</v>
      </c>
      <c r="AA30" s="30">
        <f>+Y30+0</f>
        <v>1855</v>
      </c>
      <c r="AB30" s="29">
        <f>+Z30+3</f>
        <v>49</v>
      </c>
      <c r="AC30" s="30">
        <f>+AA30+66+66+12</f>
        <v>1999</v>
      </c>
      <c r="AD30" s="29">
        <f>+AB30+4</f>
        <v>53</v>
      </c>
      <c r="AE30" s="30">
        <f>+AC30+30+43+21+19</f>
        <v>2112</v>
      </c>
      <c r="AF30" s="29">
        <f>+AD30+3-1</f>
        <v>55</v>
      </c>
      <c r="AG30" s="30">
        <f>+AE30+17+89+5-57</f>
        <v>2166</v>
      </c>
      <c r="AH30" s="29">
        <f>+AF30+3</f>
        <v>58</v>
      </c>
      <c r="AI30" s="30">
        <f>+AG30+40+26+41</f>
        <v>2273</v>
      </c>
      <c r="AJ30" s="29">
        <f>+AH30+5</f>
        <v>63</v>
      </c>
      <c r="AK30" s="30">
        <f>+AI30+25+54+17+29+51</f>
        <v>2449</v>
      </c>
      <c r="AL30" s="29">
        <f>+AJ30+1</f>
        <v>64</v>
      </c>
      <c r="AM30" s="30">
        <f>+AK30+3</f>
        <v>2452</v>
      </c>
      <c r="AN30" s="99">
        <f>+AL30+0-1</f>
        <v>63</v>
      </c>
      <c r="AO30" s="100">
        <f>+AM30+0-50</f>
        <v>2402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</row>
    <row r="31" spans="1:16305" x14ac:dyDescent="0.25">
      <c r="A31" s="67"/>
      <c r="B31" s="1" t="s">
        <v>19</v>
      </c>
      <c r="C31" s="1">
        <v>3</v>
      </c>
      <c r="D31" s="13">
        <f t="shared" si="0"/>
        <v>1.477832512315271E-3</v>
      </c>
      <c r="E31" s="1">
        <f>115+56+52</f>
        <v>223</v>
      </c>
      <c r="F31" s="13">
        <f t="shared" si="38"/>
        <v>2.3058152039043757E-3</v>
      </c>
      <c r="G31" s="16">
        <f t="shared" si="5"/>
        <v>74.333333333333329</v>
      </c>
      <c r="H31" s="2">
        <v>3</v>
      </c>
      <c r="I31" s="9"/>
      <c r="J31" s="1"/>
      <c r="K31" s="1"/>
      <c r="L31" s="1"/>
      <c r="M31" s="1"/>
      <c r="N31" s="29">
        <f>4</f>
        <v>4</v>
      </c>
      <c r="O31" s="30">
        <f>115+56+20+115</f>
        <v>306</v>
      </c>
      <c r="P31" s="29">
        <f>+N31+0</f>
        <v>4</v>
      </c>
      <c r="Q31" s="30">
        <f>+O31+0</f>
        <v>306</v>
      </c>
      <c r="R31" s="29">
        <f t="shared" si="39"/>
        <v>4</v>
      </c>
      <c r="S31" s="30">
        <f>+Q31+0</f>
        <v>306</v>
      </c>
      <c r="T31" s="29">
        <f>+R31+0</f>
        <v>4</v>
      </c>
      <c r="U31" s="30">
        <f>+S31+0</f>
        <v>306</v>
      </c>
      <c r="V31" s="29">
        <f>+T31+0</f>
        <v>4</v>
      </c>
      <c r="W31" s="30">
        <f>+U31+0</f>
        <v>306</v>
      </c>
      <c r="X31" s="29">
        <f>+V31+1</f>
        <v>5</v>
      </c>
      <c r="Y31" s="30">
        <f>+W31+52</f>
        <v>358</v>
      </c>
      <c r="Z31" s="29">
        <f>+X31+1</f>
        <v>6</v>
      </c>
      <c r="AA31" s="30">
        <f>+Y31+47</f>
        <v>405</v>
      </c>
      <c r="AB31" s="29">
        <f>+Z31+0-1</f>
        <v>5</v>
      </c>
      <c r="AC31" s="30">
        <f>+AA31+0-115</f>
        <v>290</v>
      </c>
      <c r="AD31" s="29">
        <f t="shared" ref="AD31:AI31" si="40">+AB31+0</f>
        <v>5</v>
      </c>
      <c r="AE31" s="30">
        <f t="shared" si="40"/>
        <v>290</v>
      </c>
      <c r="AF31" s="29">
        <f t="shared" si="40"/>
        <v>5</v>
      </c>
      <c r="AG31" s="30">
        <f t="shared" si="40"/>
        <v>290</v>
      </c>
      <c r="AH31" s="29">
        <f t="shared" si="40"/>
        <v>5</v>
      </c>
      <c r="AI31" s="30">
        <f t="shared" si="40"/>
        <v>290</v>
      </c>
      <c r="AJ31" s="29">
        <f>+AH31+0-1</f>
        <v>4</v>
      </c>
      <c r="AK31" s="30">
        <f>+AI31+0-20</f>
        <v>270</v>
      </c>
      <c r="AL31" s="29">
        <f>+AJ31+0-1</f>
        <v>3</v>
      </c>
      <c r="AM31" s="30">
        <f>+AK31+0-47</f>
        <v>223</v>
      </c>
      <c r="AN31" s="99">
        <f t="shared" si="9"/>
        <v>3</v>
      </c>
      <c r="AO31" s="100">
        <f t="shared" si="10"/>
        <v>223</v>
      </c>
    </row>
    <row r="32" spans="1:16305" x14ac:dyDescent="0.25">
      <c r="A32" s="67"/>
      <c r="B32" s="1" t="s">
        <v>20</v>
      </c>
      <c r="C32" s="1">
        <v>19</v>
      </c>
      <c r="D32" s="13">
        <f t="shared" si="0"/>
        <v>9.3596059113300496E-3</v>
      </c>
      <c r="E32" s="1">
        <f>26+29+29+49+49+63+41+132+38+72+30+60+46+46+84+38+60+51+6+6+18+25+30</f>
        <v>1028</v>
      </c>
      <c r="F32" s="13">
        <f t="shared" si="38"/>
        <v>1.0629497890644388E-2</v>
      </c>
      <c r="G32" s="16">
        <f t="shared" si="5"/>
        <v>54.10526315789474</v>
      </c>
      <c r="H32" s="2">
        <v>15</v>
      </c>
      <c r="I32" s="9"/>
      <c r="J32" s="1">
        <v>4</v>
      </c>
      <c r="K32" s="1"/>
      <c r="L32" s="1"/>
      <c r="M32" s="1"/>
      <c r="N32" s="29">
        <v>32</v>
      </c>
      <c r="O32" s="30">
        <f>50+89+137+100+26+28+28+28+29+29+160+49+49+63+128+26+20+41+132+38+72+30+60+46+46+50+50+102+37+132+84+57+60+42+51+30+23+50</f>
        <v>2272</v>
      </c>
      <c r="P32" s="29">
        <f>+N32+2</f>
        <v>34</v>
      </c>
      <c r="Q32" s="30">
        <f>+O32+6+6+18</f>
        <v>2302</v>
      </c>
      <c r="R32" s="29">
        <f>+P32+2-1</f>
        <v>35</v>
      </c>
      <c r="S32" s="30">
        <f>+Q32+28+50-26-20</f>
        <v>2334</v>
      </c>
      <c r="T32" s="29">
        <f>+R32+0-1</f>
        <v>34</v>
      </c>
      <c r="U32" s="30">
        <f>+S32+0-30-23</f>
        <v>2281</v>
      </c>
      <c r="V32" s="29">
        <f>+T32+1</f>
        <v>35</v>
      </c>
      <c r="W32" s="30">
        <f>+U32+25</f>
        <v>2306</v>
      </c>
      <c r="X32" s="29">
        <f t="shared" ref="X32:Y34" si="41">+V32+0</f>
        <v>35</v>
      </c>
      <c r="Y32" s="30">
        <f t="shared" si="41"/>
        <v>2306</v>
      </c>
      <c r="Z32" s="29">
        <f>+X32+0-11</f>
        <v>24</v>
      </c>
      <c r="AA32" s="30">
        <f>+Y32+0-50-28-28-28-160-128-50-50-102-37-28-50</f>
        <v>1567</v>
      </c>
      <c r="AB32" s="29">
        <f>+Z32+0-4</f>
        <v>20</v>
      </c>
      <c r="AC32" s="30">
        <f>+AA32+0-89-137-100-132</f>
        <v>1109</v>
      </c>
      <c r="AD32" s="29">
        <f>+AB32+1-1</f>
        <v>20</v>
      </c>
      <c r="AE32" s="30">
        <f>+AC32+30-50-19</f>
        <v>1070</v>
      </c>
      <c r="AF32" s="29">
        <f t="shared" ref="AF32:AK34" si="42">+AD32+0</f>
        <v>20</v>
      </c>
      <c r="AG32" s="30">
        <f t="shared" si="42"/>
        <v>1070</v>
      </c>
      <c r="AH32" s="29">
        <f t="shared" si="42"/>
        <v>20</v>
      </c>
      <c r="AI32" s="30">
        <f t="shared" si="42"/>
        <v>1070</v>
      </c>
      <c r="AJ32" s="29">
        <f t="shared" si="42"/>
        <v>20</v>
      </c>
      <c r="AK32" s="30">
        <f t="shared" si="42"/>
        <v>1070</v>
      </c>
      <c r="AL32" s="29">
        <f t="shared" si="15"/>
        <v>20</v>
      </c>
      <c r="AM32" s="30">
        <f>+AK32+0</f>
        <v>1070</v>
      </c>
      <c r="AN32" s="99">
        <f>+AL32+0-1</f>
        <v>19</v>
      </c>
      <c r="AO32" s="100">
        <f>+AM32+0-42</f>
        <v>1028</v>
      </c>
    </row>
    <row r="33" spans="1:41" x14ac:dyDescent="0.25">
      <c r="A33" s="67"/>
      <c r="B33" s="1" t="s">
        <v>168</v>
      </c>
      <c r="C33" s="1">
        <v>0</v>
      </c>
      <c r="D33" s="13">
        <f t="shared" si="0"/>
        <v>0</v>
      </c>
      <c r="E33" s="1">
        <v>0</v>
      </c>
      <c r="F33" s="13">
        <f t="shared" si="38"/>
        <v>0</v>
      </c>
      <c r="G33" s="16" t="str">
        <f>IF(C33=0,"",E33/C33)</f>
        <v/>
      </c>
      <c r="H33" s="2"/>
      <c r="I33" s="9"/>
      <c r="J33" s="1"/>
      <c r="K33" s="1"/>
      <c r="L33" s="1"/>
      <c r="M33" s="1"/>
      <c r="N33" s="29">
        <v>0</v>
      </c>
      <c r="O33" s="30">
        <v>0</v>
      </c>
      <c r="P33" s="29">
        <f t="shared" ref="P33:W33" si="43">+N33+0</f>
        <v>0</v>
      </c>
      <c r="Q33" s="30">
        <f t="shared" si="43"/>
        <v>0</v>
      </c>
      <c r="R33" s="29">
        <f t="shared" si="43"/>
        <v>0</v>
      </c>
      <c r="S33" s="30">
        <f t="shared" si="43"/>
        <v>0</v>
      </c>
      <c r="T33" s="29">
        <f t="shared" si="43"/>
        <v>0</v>
      </c>
      <c r="U33" s="30">
        <f t="shared" si="43"/>
        <v>0</v>
      </c>
      <c r="V33" s="29">
        <f t="shared" si="43"/>
        <v>0</v>
      </c>
      <c r="W33" s="30">
        <f t="shared" si="43"/>
        <v>0</v>
      </c>
      <c r="X33" s="29">
        <f t="shared" si="41"/>
        <v>0</v>
      </c>
      <c r="Y33" s="30">
        <f t="shared" si="41"/>
        <v>0</v>
      </c>
      <c r="Z33" s="29">
        <f t="shared" ref="Z33:AE33" si="44">+X33+0</f>
        <v>0</v>
      </c>
      <c r="AA33" s="30">
        <f t="shared" si="44"/>
        <v>0</v>
      </c>
      <c r="AB33" s="29">
        <f t="shared" si="44"/>
        <v>0</v>
      </c>
      <c r="AC33" s="30">
        <f t="shared" si="44"/>
        <v>0</v>
      </c>
      <c r="AD33" s="29">
        <f t="shared" si="44"/>
        <v>0</v>
      </c>
      <c r="AE33" s="30">
        <f t="shared" si="44"/>
        <v>0</v>
      </c>
      <c r="AF33" s="29">
        <f t="shared" si="42"/>
        <v>0</v>
      </c>
      <c r="AG33" s="30">
        <f t="shared" si="42"/>
        <v>0</v>
      </c>
      <c r="AH33" s="29">
        <f t="shared" si="42"/>
        <v>0</v>
      </c>
      <c r="AI33" s="30">
        <f t="shared" si="42"/>
        <v>0</v>
      </c>
      <c r="AJ33" s="29">
        <f>+AH33+0</f>
        <v>0</v>
      </c>
      <c r="AK33" s="30">
        <f>+AI33+0</f>
        <v>0</v>
      </c>
      <c r="AL33" s="31">
        <f t="shared" si="15"/>
        <v>0</v>
      </c>
      <c r="AM33" s="32">
        <f>+AK33+0</f>
        <v>0</v>
      </c>
      <c r="AN33" s="95">
        <f>+AL33+0</f>
        <v>0</v>
      </c>
      <c r="AO33" s="96">
        <f>+AM33+0</f>
        <v>0</v>
      </c>
    </row>
    <row r="34" spans="1:41" x14ac:dyDescent="0.25">
      <c r="A34" s="68"/>
      <c r="B34" s="1" t="s">
        <v>21</v>
      </c>
      <c r="C34" s="1">
        <v>7</v>
      </c>
      <c r="D34" s="13">
        <f t="shared" si="0"/>
        <v>3.4482758620689655E-3</v>
      </c>
      <c r="E34" s="1">
        <v>300</v>
      </c>
      <c r="F34" s="13">
        <f t="shared" ref="F34:F43" si="45">+E34/$E$158</f>
        <v>3.1019935478534206E-3</v>
      </c>
      <c r="G34" s="16">
        <f t="shared" si="5"/>
        <v>42.857142857142854</v>
      </c>
      <c r="H34" s="2">
        <v>5</v>
      </c>
      <c r="I34" s="9"/>
      <c r="J34" s="1">
        <v>2</v>
      </c>
      <c r="K34" s="1"/>
      <c r="L34" s="1"/>
      <c r="M34" s="1"/>
      <c r="N34" s="29">
        <v>3</v>
      </c>
      <c r="O34" s="30">
        <f>22+17+20+16+112</f>
        <v>187</v>
      </c>
      <c r="P34" s="29">
        <f>+N34+0</f>
        <v>3</v>
      </c>
      <c r="Q34" s="30">
        <f>+O34+0</f>
        <v>187</v>
      </c>
      <c r="R34" s="29">
        <f t="shared" si="39"/>
        <v>3</v>
      </c>
      <c r="S34" s="30">
        <f>+Q34+0</f>
        <v>187</v>
      </c>
      <c r="T34" s="29">
        <f>+R34+2</f>
        <v>5</v>
      </c>
      <c r="U34" s="30">
        <f>+S34+26+48</f>
        <v>261</v>
      </c>
      <c r="V34" s="29">
        <f>+T34+2</f>
        <v>7</v>
      </c>
      <c r="W34" s="30">
        <f>+U34+9+30</f>
        <v>300</v>
      </c>
      <c r="X34" s="29">
        <f t="shared" si="41"/>
        <v>7</v>
      </c>
      <c r="Y34" s="30">
        <f t="shared" si="41"/>
        <v>300</v>
      </c>
      <c r="Z34" s="29">
        <f t="shared" ref="Z34:AE34" si="46">+X34+0</f>
        <v>7</v>
      </c>
      <c r="AA34" s="30">
        <f t="shared" si="46"/>
        <v>300</v>
      </c>
      <c r="AB34" s="29">
        <f t="shared" si="46"/>
        <v>7</v>
      </c>
      <c r="AC34" s="30">
        <f t="shared" si="46"/>
        <v>300</v>
      </c>
      <c r="AD34" s="29">
        <f t="shared" si="46"/>
        <v>7</v>
      </c>
      <c r="AE34" s="30">
        <f t="shared" si="46"/>
        <v>300</v>
      </c>
      <c r="AF34" s="29">
        <f t="shared" si="42"/>
        <v>7</v>
      </c>
      <c r="AG34" s="30">
        <f t="shared" si="42"/>
        <v>300</v>
      </c>
      <c r="AH34" s="29">
        <f t="shared" si="42"/>
        <v>7</v>
      </c>
      <c r="AI34" s="30">
        <f t="shared" si="42"/>
        <v>300</v>
      </c>
      <c r="AJ34" s="29">
        <f t="shared" si="42"/>
        <v>7</v>
      </c>
      <c r="AK34" s="30">
        <f t="shared" si="42"/>
        <v>300</v>
      </c>
      <c r="AL34" s="29">
        <f t="shared" si="15"/>
        <v>7</v>
      </c>
      <c r="AM34" s="30">
        <f>+AK34+0</f>
        <v>300</v>
      </c>
      <c r="AN34" s="99">
        <f t="shared" si="9"/>
        <v>7</v>
      </c>
      <c r="AO34" s="100">
        <f t="shared" si="10"/>
        <v>300</v>
      </c>
    </row>
    <row r="35" spans="1:41" x14ac:dyDescent="0.25">
      <c r="A35" s="73" t="s">
        <v>136</v>
      </c>
      <c r="B35" s="74"/>
      <c r="C35" s="21">
        <f>SUM(C25:C34)</f>
        <v>138</v>
      </c>
      <c r="D35" s="14">
        <f t="shared" si="0"/>
        <v>6.7980295566502466E-2</v>
      </c>
      <c r="E35" s="21">
        <f>SUM(E25:E34)</f>
        <v>5582</v>
      </c>
      <c r="F35" s="14">
        <f t="shared" si="45"/>
        <v>5.7717759947059313E-2</v>
      </c>
      <c r="G35" s="17">
        <f t="shared" si="5"/>
        <v>40.449275362318843</v>
      </c>
      <c r="H35" s="18">
        <f>SUM(H25:H34)</f>
        <v>131</v>
      </c>
      <c r="I35" s="63">
        <f>+H35/$C$35</f>
        <v>0.94927536231884058</v>
      </c>
      <c r="J35" s="21">
        <f>SUM(J25:J34)</f>
        <v>7</v>
      </c>
      <c r="K35" s="63">
        <f>+J35/$C$35</f>
        <v>5.0724637681159424E-2</v>
      </c>
      <c r="L35" s="21">
        <f>SUM(L25:L34)</f>
        <v>0</v>
      </c>
      <c r="M35" s="63">
        <f>+L35/$C$35</f>
        <v>0</v>
      </c>
      <c r="N35" s="24">
        <f t="shared" ref="N35:AN35" si="47">SUM(N25:N34)</f>
        <v>79</v>
      </c>
      <c r="O35" s="27">
        <f t="shared" si="47"/>
        <v>4882</v>
      </c>
      <c r="P35" s="24">
        <f t="shared" si="47"/>
        <v>88</v>
      </c>
      <c r="Q35" s="27">
        <f t="shared" si="47"/>
        <v>5163</v>
      </c>
      <c r="R35" s="24">
        <f t="shared" si="47"/>
        <v>92</v>
      </c>
      <c r="S35" s="27">
        <f>SUM(S25:S34)</f>
        <v>5317</v>
      </c>
      <c r="T35" s="24">
        <f t="shared" si="47"/>
        <v>127</v>
      </c>
      <c r="U35" s="27">
        <f>SUM(U25:U34)</f>
        <v>6395</v>
      </c>
      <c r="V35" s="24">
        <f t="shared" si="47"/>
        <v>134</v>
      </c>
      <c r="W35" s="27">
        <f>SUM(W25:W34)</f>
        <v>6646</v>
      </c>
      <c r="X35" s="24">
        <f t="shared" si="47"/>
        <v>136</v>
      </c>
      <c r="Y35" s="27">
        <f>SUM(Y25:Y34)</f>
        <v>6733</v>
      </c>
      <c r="Z35" s="24">
        <f t="shared" si="47"/>
        <v>130</v>
      </c>
      <c r="AA35" s="27">
        <f>SUM(AA25:AA34)</f>
        <v>6180</v>
      </c>
      <c r="AB35" s="24">
        <f t="shared" si="47"/>
        <v>126</v>
      </c>
      <c r="AC35" s="27">
        <f>SUM(AC25:AC34)</f>
        <v>5692</v>
      </c>
      <c r="AD35" s="24">
        <f t="shared" si="47"/>
        <v>127</v>
      </c>
      <c r="AE35" s="27">
        <f>SUM(AE25:AE34)</f>
        <v>5553</v>
      </c>
      <c r="AF35" s="24">
        <f t="shared" si="47"/>
        <v>130</v>
      </c>
      <c r="AG35" s="27">
        <f>SUM(AG25:AG34)</f>
        <v>5466</v>
      </c>
      <c r="AH35" s="24">
        <f t="shared" si="47"/>
        <v>134</v>
      </c>
      <c r="AI35" s="27">
        <f>SUM(AI25:AI34)</f>
        <v>5584</v>
      </c>
      <c r="AJ35" s="24">
        <f t="shared" si="47"/>
        <v>141</v>
      </c>
      <c r="AK35" s="27">
        <f>SUM(AK25:AK34)</f>
        <v>5803</v>
      </c>
      <c r="AL35" s="24">
        <f t="shared" si="47"/>
        <v>140</v>
      </c>
      <c r="AM35" s="27">
        <f>SUM(AM25:AM34)</f>
        <v>5674</v>
      </c>
      <c r="AN35" s="24">
        <f t="shared" si="47"/>
        <v>138</v>
      </c>
      <c r="AO35" s="27">
        <f>SUM(AO25:AO34)</f>
        <v>5582</v>
      </c>
    </row>
    <row r="36" spans="1:41" x14ac:dyDescent="0.25">
      <c r="A36" s="66">
        <v>6</v>
      </c>
      <c r="B36" s="1" t="s">
        <v>22</v>
      </c>
      <c r="C36" s="1">
        <v>15</v>
      </c>
      <c r="D36" s="13">
        <f t="shared" si="0"/>
        <v>7.3891625615763543E-3</v>
      </c>
      <c r="E36" s="1">
        <f>153+120+46+59+116+17+20+82+70+46+23+57+31+38+26+50+29</f>
        <v>983</v>
      </c>
      <c r="F36" s="13">
        <f t="shared" si="45"/>
        <v>1.0164198858466374E-2</v>
      </c>
      <c r="G36" s="16">
        <f t="shared" si="5"/>
        <v>65.533333333333331</v>
      </c>
      <c r="H36" s="2">
        <v>10</v>
      </c>
      <c r="I36" s="9"/>
      <c r="J36" s="1">
        <v>1</v>
      </c>
      <c r="K36" s="1"/>
      <c r="L36" s="1">
        <v>4</v>
      </c>
      <c r="M36" s="1"/>
      <c r="N36" s="29">
        <v>4</v>
      </c>
      <c r="O36" s="30">
        <f>12+44+12+153+160+46</f>
        <v>427</v>
      </c>
      <c r="P36" s="29">
        <f>+N36+0-1</f>
        <v>3</v>
      </c>
      <c r="Q36" s="30">
        <f>+O36+0-12-44-12</f>
        <v>359</v>
      </c>
      <c r="R36" s="29">
        <f t="shared" ref="R36:R53" si="48">+P36+0</f>
        <v>3</v>
      </c>
      <c r="S36" s="30">
        <f t="shared" ref="S36:W39" si="49">+Q36+0</f>
        <v>359</v>
      </c>
      <c r="T36" s="29">
        <f t="shared" si="49"/>
        <v>3</v>
      </c>
      <c r="U36" s="30">
        <f>+S36+0-40</f>
        <v>319</v>
      </c>
      <c r="V36" s="29">
        <f t="shared" si="49"/>
        <v>3</v>
      </c>
      <c r="W36" s="30">
        <f t="shared" si="49"/>
        <v>319</v>
      </c>
      <c r="X36" s="29">
        <f>+V36+1</f>
        <v>4</v>
      </c>
      <c r="Y36" s="30">
        <f>+W36+59</f>
        <v>378</v>
      </c>
      <c r="Z36" s="29">
        <f>+X36+1</f>
        <v>5</v>
      </c>
      <c r="AA36" s="30">
        <f>+Y36+116</f>
        <v>494</v>
      </c>
      <c r="AB36" s="29">
        <f>+Z36+1</f>
        <v>6</v>
      </c>
      <c r="AC36" s="30">
        <f>+AA36+17</f>
        <v>511</v>
      </c>
      <c r="AD36" s="29">
        <f>+AB36+1</f>
        <v>7</v>
      </c>
      <c r="AE36" s="30">
        <f>+AC36+20</f>
        <v>531</v>
      </c>
      <c r="AF36" s="29">
        <f>+AD36+5</f>
        <v>12</v>
      </c>
      <c r="AG36" s="30">
        <f>+AE36+82+70+46+23+57</f>
        <v>809</v>
      </c>
      <c r="AH36" s="29">
        <f>+AF36+2</f>
        <v>14</v>
      </c>
      <c r="AI36" s="30">
        <f>+AG36+31+38+26+50</f>
        <v>954</v>
      </c>
      <c r="AJ36" s="29">
        <f>+AH36+1</f>
        <v>15</v>
      </c>
      <c r="AK36" s="30">
        <f>+AI36+29</f>
        <v>983</v>
      </c>
      <c r="AL36" s="29">
        <f t="shared" si="15"/>
        <v>15</v>
      </c>
      <c r="AM36" s="30">
        <f>+AK36+0</f>
        <v>983</v>
      </c>
      <c r="AN36" s="99">
        <f t="shared" si="9"/>
        <v>15</v>
      </c>
      <c r="AO36" s="100">
        <f t="shared" si="10"/>
        <v>983</v>
      </c>
    </row>
    <row r="37" spans="1:41" x14ac:dyDescent="0.25">
      <c r="A37" s="67"/>
      <c r="B37" s="1" t="s">
        <v>23</v>
      </c>
      <c r="C37" s="1">
        <v>4</v>
      </c>
      <c r="D37" s="13">
        <f t="shared" si="0"/>
        <v>1.9704433497536944E-3</v>
      </c>
      <c r="E37" s="1">
        <f>120+41</f>
        <v>161</v>
      </c>
      <c r="F37" s="13">
        <f t="shared" si="45"/>
        <v>1.6647365373480022E-3</v>
      </c>
      <c r="G37" s="16">
        <f t="shared" si="5"/>
        <v>40.25</v>
      </c>
      <c r="H37" s="2">
        <v>3</v>
      </c>
      <c r="I37" s="9"/>
      <c r="J37" s="1">
        <v>1</v>
      </c>
      <c r="K37" s="1"/>
      <c r="L37" s="1"/>
      <c r="M37" s="1"/>
      <c r="N37" s="29">
        <v>0</v>
      </c>
      <c r="O37" s="30">
        <v>0</v>
      </c>
      <c r="P37" s="29">
        <f t="shared" ref="P37:Q41" si="50">+N37+0</f>
        <v>0</v>
      </c>
      <c r="Q37" s="30">
        <f t="shared" si="50"/>
        <v>0</v>
      </c>
      <c r="R37" s="29">
        <f t="shared" si="48"/>
        <v>0</v>
      </c>
      <c r="S37" s="30">
        <f t="shared" si="49"/>
        <v>0</v>
      </c>
      <c r="T37" s="29">
        <f t="shared" si="49"/>
        <v>0</v>
      </c>
      <c r="U37" s="30">
        <f t="shared" si="49"/>
        <v>0</v>
      </c>
      <c r="V37" s="29">
        <f t="shared" si="49"/>
        <v>0</v>
      </c>
      <c r="W37" s="30">
        <f t="shared" si="49"/>
        <v>0</v>
      </c>
      <c r="X37" s="29">
        <f>+V37+1</f>
        <v>1</v>
      </c>
      <c r="Y37" s="30">
        <f>+W37+20</f>
        <v>20</v>
      </c>
      <c r="Z37" s="29">
        <f>+X37+1</f>
        <v>2</v>
      </c>
      <c r="AA37" s="30">
        <f>+Y37+7+12+12</f>
        <v>51</v>
      </c>
      <c r="AB37" s="29">
        <f t="shared" ref="AB37:AG38" si="51">+Z37+0</f>
        <v>2</v>
      </c>
      <c r="AC37" s="30">
        <f t="shared" si="51"/>
        <v>51</v>
      </c>
      <c r="AD37" s="29">
        <f t="shared" si="51"/>
        <v>2</v>
      </c>
      <c r="AE37" s="30">
        <f t="shared" si="51"/>
        <v>51</v>
      </c>
      <c r="AF37" s="29">
        <f t="shared" si="51"/>
        <v>2</v>
      </c>
      <c r="AG37" s="30">
        <f t="shared" si="51"/>
        <v>51</v>
      </c>
      <c r="AH37" s="29">
        <f>+AF37+1</f>
        <v>3</v>
      </c>
      <c r="AI37" s="30">
        <f>+AG37+69</f>
        <v>120</v>
      </c>
      <c r="AJ37" s="29">
        <f>+AH37+0</f>
        <v>3</v>
      </c>
      <c r="AK37" s="30">
        <f>+AI37+0</f>
        <v>120</v>
      </c>
      <c r="AL37" s="29">
        <f>+AJ37+1</f>
        <v>4</v>
      </c>
      <c r="AM37" s="30">
        <f>+AK37+41</f>
        <v>161</v>
      </c>
      <c r="AN37" s="99">
        <f t="shared" si="9"/>
        <v>4</v>
      </c>
      <c r="AO37" s="100">
        <f t="shared" si="10"/>
        <v>161</v>
      </c>
    </row>
    <row r="38" spans="1:41" x14ac:dyDescent="0.25">
      <c r="A38" s="67"/>
      <c r="B38" s="1" t="s">
        <v>131</v>
      </c>
      <c r="C38" s="1">
        <v>1</v>
      </c>
      <c r="D38" s="13">
        <f t="shared" si="0"/>
        <v>4.9261083743842361E-4</v>
      </c>
      <c r="E38" s="1">
        <v>17</v>
      </c>
      <c r="F38" s="13">
        <f t="shared" si="45"/>
        <v>1.7577963437836048E-4</v>
      </c>
      <c r="G38" s="16">
        <f t="shared" si="5"/>
        <v>17</v>
      </c>
      <c r="H38" s="2">
        <v>1</v>
      </c>
      <c r="I38" s="9"/>
      <c r="J38" s="1"/>
      <c r="K38" s="1"/>
      <c r="L38" s="1"/>
      <c r="M38" s="1"/>
      <c r="N38" s="29">
        <v>0</v>
      </c>
      <c r="O38" s="30">
        <v>0</v>
      </c>
      <c r="P38" s="29">
        <f t="shared" si="50"/>
        <v>0</v>
      </c>
      <c r="Q38" s="30">
        <f t="shared" si="50"/>
        <v>0</v>
      </c>
      <c r="R38" s="29">
        <f t="shared" si="48"/>
        <v>0</v>
      </c>
      <c r="S38" s="30">
        <f t="shared" si="49"/>
        <v>0</v>
      </c>
      <c r="T38" s="29">
        <f t="shared" si="49"/>
        <v>0</v>
      </c>
      <c r="U38" s="30">
        <f t="shared" si="49"/>
        <v>0</v>
      </c>
      <c r="V38" s="29">
        <f t="shared" si="49"/>
        <v>0</v>
      </c>
      <c r="W38" s="30">
        <f t="shared" si="49"/>
        <v>0</v>
      </c>
      <c r="X38" s="29">
        <f t="shared" ref="X38:AA39" si="52">+V38+0</f>
        <v>0</v>
      </c>
      <c r="Y38" s="30">
        <f t="shared" si="52"/>
        <v>0</v>
      </c>
      <c r="Z38" s="29">
        <f t="shared" si="52"/>
        <v>0</v>
      </c>
      <c r="AA38" s="30">
        <f t="shared" si="52"/>
        <v>0</v>
      </c>
      <c r="AB38" s="29">
        <f t="shared" si="51"/>
        <v>0</v>
      </c>
      <c r="AC38" s="30">
        <f t="shared" si="51"/>
        <v>0</v>
      </c>
      <c r="AD38" s="29">
        <f t="shared" si="51"/>
        <v>0</v>
      </c>
      <c r="AE38" s="30">
        <f t="shared" si="51"/>
        <v>0</v>
      </c>
      <c r="AF38" s="29">
        <f t="shared" si="51"/>
        <v>0</v>
      </c>
      <c r="AG38" s="30">
        <f t="shared" si="51"/>
        <v>0</v>
      </c>
      <c r="AH38" s="29">
        <f>+AF38+1</f>
        <v>1</v>
      </c>
      <c r="AI38" s="30">
        <f>+AG38+17</f>
        <v>17</v>
      </c>
      <c r="AJ38" s="29">
        <f>+AH38+0</f>
        <v>1</v>
      </c>
      <c r="AK38" s="30">
        <f>+AI38+0</f>
        <v>17</v>
      </c>
      <c r="AL38" s="29">
        <f>+AJ38+0</f>
        <v>1</v>
      </c>
      <c r="AM38" s="30">
        <f>+AK38+0</f>
        <v>17</v>
      </c>
      <c r="AN38" s="99">
        <f t="shared" si="9"/>
        <v>1</v>
      </c>
      <c r="AO38" s="100">
        <f t="shared" si="10"/>
        <v>17</v>
      </c>
    </row>
    <row r="39" spans="1:41" x14ac:dyDescent="0.25">
      <c r="A39" s="67"/>
      <c r="B39" s="1" t="s">
        <v>24</v>
      </c>
      <c r="C39" s="1">
        <v>0</v>
      </c>
      <c r="D39" s="13">
        <f t="shared" si="0"/>
        <v>0</v>
      </c>
      <c r="E39" s="1">
        <v>0</v>
      </c>
      <c r="F39" s="13">
        <f t="shared" si="45"/>
        <v>0</v>
      </c>
      <c r="G39" s="16" t="str">
        <f t="shared" si="5"/>
        <v/>
      </c>
      <c r="H39" s="2"/>
      <c r="I39" s="9"/>
      <c r="J39" s="1"/>
      <c r="K39" s="1"/>
      <c r="L39" s="1"/>
      <c r="M39" s="1"/>
      <c r="N39" s="29">
        <v>3</v>
      </c>
      <c r="O39" s="30">
        <f>28+31+24</f>
        <v>83</v>
      </c>
      <c r="P39" s="29">
        <f t="shared" si="50"/>
        <v>3</v>
      </c>
      <c r="Q39" s="30">
        <f t="shared" si="50"/>
        <v>83</v>
      </c>
      <c r="R39" s="29">
        <f t="shared" si="48"/>
        <v>3</v>
      </c>
      <c r="S39" s="30">
        <f t="shared" si="49"/>
        <v>83</v>
      </c>
      <c r="T39" s="29">
        <f t="shared" si="49"/>
        <v>3</v>
      </c>
      <c r="U39" s="30">
        <f t="shared" si="49"/>
        <v>83</v>
      </c>
      <c r="V39" s="29">
        <f t="shared" si="49"/>
        <v>3</v>
      </c>
      <c r="W39" s="30">
        <f t="shared" si="49"/>
        <v>83</v>
      </c>
      <c r="X39" s="29">
        <f t="shared" si="52"/>
        <v>3</v>
      </c>
      <c r="Y39" s="30">
        <f t="shared" si="52"/>
        <v>83</v>
      </c>
      <c r="Z39" s="29">
        <f t="shared" si="52"/>
        <v>3</v>
      </c>
      <c r="AA39" s="30">
        <f t="shared" si="52"/>
        <v>83</v>
      </c>
      <c r="AB39" s="29">
        <f t="shared" ref="AB39:AB46" si="53">+Z39+0</f>
        <v>3</v>
      </c>
      <c r="AC39" s="30">
        <f t="shared" ref="AC39:AI39" si="54">+AA39+0</f>
        <v>83</v>
      </c>
      <c r="AD39" s="29">
        <f t="shared" si="54"/>
        <v>3</v>
      </c>
      <c r="AE39" s="30">
        <f t="shared" si="54"/>
        <v>83</v>
      </c>
      <c r="AF39" s="29">
        <f t="shared" si="54"/>
        <v>3</v>
      </c>
      <c r="AG39" s="30">
        <f t="shared" si="54"/>
        <v>83</v>
      </c>
      <c r="AH39" s="29">
        <f t="shared" si="54"/>
        <v>3</v>
      </c>
      <c r="AI39" s="30">
        <f t="shared" si="54"/>
        <v>83</v>
      </c>
      <c r="AJ39" s="29">
        <f>+AH39-3</f>
        <v>0</v>
      </c>
      <c r="AK39" s="30">
        <f>+AI39+0-28-31-24</f>
        <v>0</v>
      </c>
      <c r="AL39" s="29">
        <f>+AJ39+0</f>
        <v>0</v>
      </c>
      <c r="AM39" s="30">
        <f>+AK39+0</f>
        <v>0</v>
      </c>
      <c r="AN39" s="99">
        <f t="shared" si="9"/>
        <v>0</v>
      </c>
      <c r="AO39" s="100">
        <f t="shared" si="10"/>
        <v>0</v>
      </c>
    </row>
    <row r="40" spans="1:41" x14ac:dyDescent="0.25">
      <c r="A40" s="67"/>
      <c r="B40" s="1" t="s">
        <v>25</v>
      </c>
      <c r="C40" s="1">
        <v>4</v>
      </c>
      <c r="D40" s="13">
        <f t="shared" si="0"/>
        <v>1.9704433497536944E-3</v>
      </c>
      <c r="E40" s="1">
        <f>166+28</f>
        <v>194</v>
      </c>
      <c r="F40" s="13">
        <f t="shared" si="45"/>
        <v>2.0059558276118786E-3</v>
      </c>
      <c r="G40" s="16">
        <f t="shared" si="5"/>
        <v>48.5</v>
      </c>
      <c r="H40" s="2">
        <v>4</v>
      </c>
      <c r="I40" s="9"/>
      <c r="J40" s="1"/>
      <c r="K40" s="1"/>
      <c r="L40" s="1"/>
      <c r="M40" s="1"/>
      <c r="N40" s="29">
        <v>0</v>
      </c>
      <c r="O40" s="30">
        <v>0</v>
      </c>
      <c r="P40" s="29">
        <f t="shared" si="50"/>
        <v>0</v>
      </c>
      <c r="Q40" s="30">
        <f t="shared" si="50"/>
        <v>0</v>
      </c>
      <c r="R40" s="29">
        <f t="shared" si="48"/>
        <v>0</v>
      </c>
      <c r="S40" s="30">
        <f t="shared" ref="S40:U41" si="55">+Q40+0</f>
        <v>0</v>
      </c>
      <c r="T40" s="29">
        <f t="shared" si="55"/>
        <v>0</v>
      </c>
      <c r="U40" s="30">
        <f t="shared" si="55"/>
        <v>0</v>
      </c>
      <c r="V40" s="29">
        <f>+T40+2</f>
        <v>2</v>
      </c>
      <c r="W40" s="30">
        <f>+U40+86+33</f>
        <v>119</v>
      </c>
      <c r="X40" s="29">
        <f>+V40+1</f>
        <v>3</v>
      </c>
      <c r="Y40" s="30">
        <f>+W40+47</f>
        <v>166</v>
      </c>
      <c r="Z40" s="29">
        <f t="shared" ref="Z40:AA48" si="56">+X40+0</f>
        <v>3</v>
      </c>
      <c r="AA40" s="30">
        <f t="shared" si="56"/>
        <v>166</v>
      </c>
      <c r="AB40" s="29">
        <f t="shared" si="53"/>
        <v>3</v>
      </c>
      <c r="AC40" s="30">
        <f t="shared" ref="AC40:AE43" si="57">+AA40+0</f>
        <v>166</v>
      </c>
      <c r="AD40" s="29">
        <f t="shared" si="57"/>
        <v>3</v>
      </c>
      <c r="AE40" s="30">
        <f t="shared" si="57"/>
        <v>166</v>
      </c>
      <c r="AF40" s="29">
        <f>+AD40+1</f>
        <v>4</v>
      </c>
      <c r="AG40" s="30">
        <f>+AE40+28</f>
        <v>194</v>
      </c>
      <c r="AH40" s="29">
        <f>+AF40+0</f>
        <v>4</v>
      </c>
      <c r="AI40" s="30">
        <f>+AG40+0</f>
        <v>194</v>
      </c>
      <c r="AJ40" s="29">
        <f t="shared" ref="AJ40:AJ53" si="58">+AH40+0</f>
        <v>4</v>
      </c>
      <c r="AK40" s="30">
        <f t="shared" ref="AK40:AK53" si="59">+AI40+0</f>
        <v>194</v>
      </c>
      <c r="AL40" s="29">
        <f t="shared" si="15"/>
        <v>4</v>
      </c>
      <c r="AM40" s="30">
        <f t="shared" ref="AM40:AM46" si="60">+AK40+0</f>
        <v>194</v>
      </c>
      <c r="AN40" s="99">
        <f t="shared" si="9"/>
        <v>4</v>
      </c>
      <c r="AO40" s="100">
        <f t="shared" si="10"/>
        <v>194</v>
      </c>
    </row>
    <row r="41" spans="1:41" x14ac:dyDescent="0.25">
      <c r="A41" s="67"/>
      <c r="B41" s="1" t="s">
        <v>119</v>
      </c>
      <c r="C41" s="1">
        <v>1</v>
      </c>
      <c r="D41" s="13">
        <f t="shared" ref="D41:D72" si="61">+C41/$C$158</f>
        <v>4.9261083743842361E-4</v>
      </c>
      <c r="E41" s="1">
        <v>26</v>
      </c>
      <c r="F41" s="13">
        <f t="shared" si="45"/>
        <v>2.6883944081396312E-4</v>
      </c>
      <c r="G41" s="16">
        <f t="shared" si="5"/>
        <v>26</v>
      </c>
      <c r="H41" s="2">
        <v>1</v>
      </c>
      <c r="I41" s="9"/>
      <c r="J41" s="1"/>
      <c r="K41" s="1"/>
      <c r="L41" s="1"/>
      <c r="M41" s="1"/>
      <c r="N41" s="29">
        <v>0</v>
      </c>
      <c r="O41" s="30">
        <v>0</v>
      </c>
      <c r="P41" s="29">
        <f t="shared" si="50"/>
        <v>0</v>
      </c>
      <c r="Q41" s="30">
        <f t="shared" si="50"/>
        <v>0</v>
      </c>
      <c r="R41" s="29">
        <f t="shared" si="48"/>
        <v>0</v>
      </c>
      <c r="S41" s="30">
        <f t="shared" si="55"/>
        <v>0</v>
      </c>
      <c r="T41" s="29">
        <f t="shared" si="55"/>
        <v>0</v>
      </c>
      <c r="U41" s="30">
        <f t="shared" si="55"/>
        <v>0</v>
      </c>
      <c r="V41" s="29">
        <f t="shared" ref="V41:W43" si="62">+T41+0</f>
        <v>0</v>
      </c>
      <c r="W41" s="30">
        <f t="shared" si="62"/>
        <v>0</v>
      </c>
      <c r="X41" s="29">
        <f t="shared" ref="X41:X52" si="63">+V41+0</f>
        <v>0</v>
      </c>
      <c r="Y41" s="30">
        <f t="shared" ref="Y41:Y52" si="64">+W41+0</f>
        <v>0</v>
      </c>
      <c r="Z41" s="29">
        <f t="shared" si="56"/>
        <v>0</v>
      </c>
      <c r="AA41" s="30">
        <f t="shared" si="56"/>
        <v>0</v>
      </c>
      <c r="AB41" s="29">
        <f t="shared" si="53"/>
        <v>0</v>
      </c>
      <c r="AC41" s="30">
        <f t="shared" si="57"/>
        <v>0</v>
      </c>
      <c r="AD41" s="29">
        <f t="shared" si="57"/>
        <v>0</v>
      </c>
      <c r="AE41" s="30">
        <f t="shared" si="57"/>
        <v>0</v>
      </c>
      <c r="AF41" s="29">
        <f>+AD41+1</f>
        <v>1</v>
      </c>
      <c r="AG41" s="30">
        <f>+AE41+26</f>
        <v>26</v>
      </c>
      <c r="AH41" s="29">
        <f>+AF41+0</f>
        <v>1</v>
      </c>
      <c r="AI41" s="30">
        <f>+AG41+0</f>
        <v>26</v>
      </c>
      <c r="AJ41" s="29">
        <f t="shared" si="58"/>
        <v>1</v>
      </c>
      <c r="AK41" s="30">
        <f t="shared" si="59"/>
        <v>26</v>
      </c>
      <c r="AL41" s="29">
        <f t="shared" si="15"/>
        <v>1</v>
      </c>
      <c r="AM41" s="30">
        <f t="shared" si="60"/>
        <v>26</v>
      </c>
      <c r="AN41" s="99">
        <f t="shared" si="9"/>
        <v>1</v>
      </c>
      <c r="AO41" s="100">
        <f t="shared" si="10"/>
        <v>26</v>
      </c>
    </row>
    <row r="42" spans="1:41" x14ac:dyDescent="0.25">
      <c r="A42" s="67"/>
      <c r="B42" s="1" t="s">
        <v>26</v>
      </c>
      <c r="C42" s="1">
        <v>12</v>
      </c>
      <c r="D42" s="13">
        <f t="shared" si="61"/>
        <v>5.9113300492610842E-3</v>
      </c>
      <c r="E42" s="1">
        <f>53+53+92+65+49+49+130-70+26+26+26+23+23+53+54+49+49+49+49+102+107</f>
        <v>1057</v>
      </c>
      <c r="F42" s="13">
        <f t="shared" si="45"/>
        <v>1.0929357266936885E-2</v>
      </c>
      <c r="G42" s="16">
        <f t="shared" si="5"/>
        <v>88.083333333333329</v>
      </c>
      <c r="H42" s="2">
        <v>7</v>
      </c>
      <c r="I42" s="9"/>
      <c r="J42" s="1">
        <v>5</v>
      </c>
      <c r="K42" s="1"/>
      <c r="L42" s="1"/>
      <c r="M42" s="1"/>
      <c r="N42" s="29">
        <v>12</v>
      </c>
      <c r="O42" s="30">
        <f>53+53+92+65+49+49+130+26+26+26+23+23+53+54+49+49+49+49+91</f>
        <v>1009</v>
      </c>
      <c r="P42" s="29">
        <f>+N42+2</f>
        <v>14</v>
      </c>
      <c r="Q42" s="30">
        <f>+O42+102+107-70</f>
        <v>1148</v>
      </c>
      <c r="R42" s="29">
        <f t="shared" si="48"/>
        <v>14</v>
      </c>
      <c r="S42" s="30">
        <f t="shared" ref="S42:S53" si="65">+Q42+0</f>
        <v>1148</v>
      </c>
      <c r="T42" s="29">
        <f t="shared" ref="T42:T53" si="66">+R42+0</f>
        <v>14</v>
      </c>
      <c r="U42" s="30">
        <f>+S42+0</f>
        <v>1148</v>
      </c>
      <c r="V42" s="29">
        <f t="shared" si="62"/>
        <v>14</v>
      </c>
      <c r="W42" s="30">
        <f t="shared" si="62"/>
        <v>1148</v>
      </c>
      <c r="X42" s="29">
        <f t="shared" si="63"/>
        <v>14</v>
      </c>
      <c r="Y42" s="30">
        <f t="shared" si="64"/>
        <v>1148</v>
      </c>
      <c r="Z42" s="29">
        <f t="shared" si="56"/>
        <v>14</v>
      </c>
      <c r="AA42" s="30">
        <f t="shared" si="56"/>
        <v>1148</v>
      </c>
      <c r="AB42" s="29">
        <f t="shared" si="53"/>
        <v>14</v>
      </c>
      <c r="AC42" s="30">
        <f t="shared" si="57"/>
        <v>1148</v>
      </c>
      <c r="AD42" s="29">
        <f t="shared" si="57"/>
        <v>14</v>
      </c>
      <c r="AE42" s="30">
        <f t="shared" si="57"/>
        <v>1148</v>
      </c>
      <c r="AF42" s="29">
        <f>+AD42+0-1</f>
        <v>13</v>
      </c>
      <c r="AG42" s="30">
        <f>+AE42+0-91</f>
        <v>1057</v>
      </c>
      <c r="AH42" s="29">
        <f>+AF42-1</f>
        <v>12</v>
      </c>
      <c r="AI42" s="30">
        <f>+AG42+0</f>
        <v>1057</v>
      </c>
      <c r="AJ42" s="29">
        <f t="shared" si="58"/>
        <v>12</v>
      </c>
      <c r="AK42" s="30">
        <f t="shared" si="59"/>
        <v>1057</v>
      </c>
      <c r="AL42" s="29">
        <f t="shared" si="15"/>
        <v>12</v>
      </c>
      <c r="AM42" s="30">
        <f t="shared" si="60"/>
        <v>1057</v>
      </c>
      <c r="AN42" s="99">
        <f t="shared" si="9"/>
        <v>12</v>
      </c>
      <c r="AO42" s="100">
        <f t="shared" si="10"/>
        <v>1057</v>
      </c>
    </row>
    <row r="43" spans="1:41" x14ac:dyDescent="0.25">
      <c r="A43" s="67"/>
      <c r="B43" s="1" t="s">
        <v>158</v>
      </c>
      <c r="C43" s="1">
        <v>0</v>
      </c>
      <c r="D43" s="13">
        <f t="shared" si="61"/>
        <v>0</v>
      </c>
      <c r="E43" s="1">
        <v>0</v>
      </c>
      <c r="F43" s="13">
        <f t="shared" si="45"/>
        <v>0</v>
      </c>
      <c r="G43" s="16" t="str">
        <f t="shared" si="5"/>
        <v/>
      </c>
      <c r="H43" s="2"/>
      <c r="I43" s="9"/>
      <c r="J43" s="1"/>
      <c r="K43" s="1"/>
      <c r="L43" s="1"/>
      <c r="M43" s="1"/>
      <c r="N43" s="29">
        <v>0</v>
      </c>
      <c r="O43" s="30">
        <v>0</v>
      </c>
      <c r="P43" s="29">
        <f>+N43+0</f>
        <v>0</v>
      </c>
      <c r="Q43" s="30">
        <f>+O43+0</f>
        <v>0</v>
      </c>
      <c r="R43" s="29">
        <f>+P43+0</f>
        <v>0</v>
      </c>
      <c r="S43" s="30">
        <f>+Q43+0</f>
        <v>0</v>
      </c>
      <c r="T43" s="29">
        <f>+R43+0</f>
        <v>0</v>
      </c>
      <c r="U43" s="30">
        <f>+S43+0</f>
        <v>0</v>
      </c>
      <c r="V43" s="29">
        <f t="shared" si="62"/>
        <v>0</v>
      </c>
      <c r="W43" s="30">
        <f t="shared" si="62"/>
        <v>0</v>
      </c>
      <c r="X43" s="29">
        <f>+V43+0</f>
        <v>0</v>
      </c>
      <c r="Y43" s="30">
        <f>+W43+0</f>
        <v>0</v>
      </c>
      <c r="Z43" s="29">
        <f>+X43+0</f>
        <v>0</v>
      </c>
      <c r="AA43" s="30">
        <f>+Y43+0</f>
        <v>0</v>
      </c>
      <c r="AB43" s="29">
        <f t="shared" si="53"/>
        <v>0</v>
      </c>
      <c r="AC43" s="30">
        <f t="shared" si="57"/>
        <v>0</v>
      </c>
      <c r="AD43" s="29">
        <f t="shared" si="57"/>
        <v>0</v>
      </c>
      <c r="AE43" s="30">
        <f t="shared" si="57"/>
        <v>0</v>
      </c>
      <c r="AF43" s="29">
        <f>+AD43+0</f>
        <v>0</v>
      </c>
      <c r="AG43" s="30">
        <f>+AE43+0</f>
        <v>0</v>
      </c>
      <c r="AH43" s="29">
        <f>+AF43+0</f>
        <v>0</v>
      </c>
      <c r="AI43" s="30">
        <f>+AG43+0</f>
        <v>0</v>
      </c>
      <c r="AJ43" s="29">
        <f>+AH43+0</f>
        <v>0</v>
      </c>
      <c r="AK43" s="30">
        <f>+AI43+0</f>
        <v>0</v>
      </c>
      <c r="AL43" s="31">
        <f t="shared" si="15"/>
        <v>0</v>
      </c>
      <c r="AM43" s="32">
        <f t="shared" si="60"/>
        <v>0</v>
      </c>
      <c r="AN43" s="95">
        <f>+AL43+0</f>
        <v>0</v>
      </c>
      <c r="AO43" s="96">
        <f>+AM43+0</f>
        <v>0</v>
      </c>
    </row>
    <row r="44" spans="1:41" x14ac:dyDescent="0.25">
      <c r="A44" s="67"/>
      <c r="B44" s="1" t="s">
        <v>27</v>
      </c>
      <c r="C44" s="1">
        <v>4</v>
      </c>
      <c r="D44" s="13">
        <f t="shared" si="61"/>
        <v>1.9704433497536944E-3</v>
      </c>
      <c r="E44" s="1">
        <f>190+62+31+26</f>
        <v>309</v>
      </c>
      <c r="F44" s="13">
        <f>+E44/$E$158</f>
        <v>3.1950533542890232E-3</v>
      </c>
      <c r="G44" s="16">
        <f t="shared" si="5"/>
        <v>77.25</v>
      </c>
      <c r="H44" s="2">
        <v>4</v>
      </c>
      <c r="I44" s="9"/>
      <c r="J44" s="1"/>
      <c r="K44" s="1"/>
      <c r="L44" s="1"/>
      <c r="M44" s="1"/>
      <c r="N44" s="29">
        <v>2</v>
      </c>
      <c r="O44" s="30">
        <f>190+116</f>
        <v>306</v>
      </c>
      <c r="P44" s="29">
        <f t="shared" ref="P44:P53" si="67">+N44+0</f>
        <v>2</v>
      </c>
      <c r="Q44" s="30">
        <f t="shared" ref="Q44:Q53" si="68">+O44+0</f>
        <v>306</v>
      </c>
      <c r="R44" s="29">
        <f t="shared" si="48"/>
        <v>2</v>
      </c>
      <c r="S44" s="30">
        <f t="shared" si="65"/>
        <v>306</v>
      </c>
      <c r="T44" s="29">
        <f>+R44+0-1</f>
        <v>1</v>
      </c>
      <c r="U44" s="30">
        <f>+S44+0-116</f>
        <v>190</v>
      </c>
      <c r="V44" s="29">
        <f>+T44+1</f>
        <v>2</v>
      </c>
      <c r="W44" s="30">
        <f>+U44+62</f>
        <v>252</v>
      </c>
      <c r="X44" s="29">
        <f t="shared" si="63"/>
        <v>2</v>
      </c>
      <c r="Y44" s="30">
        <f t="shared" si="64"/>
        <v>252</v>
      </c>
      <c r="Z44" s="29">
        <f t="shared" si="56"/>
        <v>2</v>
      </c>
      <c r="AA44" s="30">
        <f t="shared" si="56"/>
        <v>252</v>
      </c>
      <c r="AB44" s="29">
        <f t="shared" si="53"/>
        <v>2</v>
      </c>
      <c r="AC44" s="30">
        <f>+AA44+0</f>
        <v>252</v>
      </c>
      <c r="AD44" s="29">
        <f>+AB44+1</f>
        <v>3</v>
      </c>
      <c r="AE44" s="30">
        <f>+AC44+31</f>
        <v>283</v>
      </c>
      <c r="AF44" s="29">
        <f>+AD44+1</f>
        <v>4</v>
      </c>
      <c r="AG44" s="30">
        <f>+AE44+26</f>
        <v>309</v>
      </c>
      <c r="AH44" s="29">
        <f>+AF44+1</f>
        <v>5</v>
      </c>
      <c r="AI44" s="30">
        <f>+AG44+72</f>
        <v>381</v>
      </c>
      <c r="AJ44" s="29">
        <f t="shared" si="58"/>
        <v>5</v>
      </c>
      <c r="AK44" s="30">
        <f t="shared" si="59"/>
        <v>381</v>
      </c>
      <c r="AL44" s="29">
        <f t="shared" si="15"/>
        <v>5</v>
      </c>
      <c r="AM44" s="30">
        <f t="shared" si="60"/>
        <v>381</v>
      </c>
      <c r="AN44" s="99">
        <f>+AL44+0-1</f>
        <v>4</v>
      </c>
      <c r="AO44" s="100">
        <f>+AM44+0-72</f>
        <v>309</v>
      </c>
    </row>
    <row r="45" spans="1:41" x14ac:dyDescent="0.25">
      <c r="A45" s="67"/>
      <c r="B45" s="1" t="s">
        <v>28</v>
      </c>
      <c r="C45" s="1">
        <v>2</v>
      </c>
      <c r="D45" s="13">
        <f t="shared" si="61"/>
        <v>9.8522167487684722E-4</v>
      </c>
      <c r="E45" s="1">
        <f>50+50+26+26</f>
        <v>152</v>
      </c>
      <c r="F45" s="13">
        <f>+E45/$E$158</f>
        <v>1.5716767309123998E-3</v>
      </c>
      <c r="G45" s="16">
        <f t="shared" si="5"/>
        <v>76</v>
      </c>
      <c r="H45" s="2"/>
      <c r="I45" s="9"/>
      <c r="J45" s="1">
        <v>2</v>
      </c>
      <c r="K45" s="1"/>
      <c r="L45" s="1"/>
      <c r="M45" s="1"/>
      <c r="N45" s="29">
        <v>3</v>
      </c>
      <c r="O45" s="30">
        <f>65+50+50+50+50</f>
        <v>265</v>
      </c>
      <c r="P45" s="29">
        <f t="shared" si="67"/>
        <v>3</v>
      </c>
      <c r="Q45" s="30">
        <f t="shared" si="68"/>
        <v>265</v>
      </c>
      <c r="R45" s="29">
        <f t="shared" si="48"/>
        <v>3</v>
      </c>
      <c r="S45" s="30">
        <f t="shared" si="65"/>
        <v>265</v>
      </c>
      <c r="T45" s="29">
        <f t="shared" si="66"/>
        <v>3</v>
      </c>
      <c r="U45" s="30">
        <f t="shared" ref="U45:W49" si="69">+S45+0</f>
        <v>265</v>
      </c>
      <c r="V45" s="29">
        <f t="shared" si="69"/>
        <v>3</v>
      </c>
      <c r="W45" s="30">
        <f t="shared" si="69"/>
        <v>265</v>
      </c>
      <c r="X45" s="29">
        <f t="shared" si="63"/>
        <v>3</v>
      </c>
      <c r="Y45" s="30">
        <f>+W45+0-24-24</f>
        <v>217</v>
      </c>
      <c r="Z45" s="29">
        <f t="shared" si="56"/>
        <v>3</v>
      </c>
      <c r="AA45" s="30">
        <f t="shared" si="56"/>
        <v>217</v>
      </c>
      <c r="AB45" s="29">
        <f t="shared" si="53"/>
        <v>3</v>
      </c>
      <c r="AC45" s="30">
        <f>+AA45+0</f>
        <v>217</v>
      </c>
      <c r="AD45" s="29">
        <f t="shared" ref="AD45:AI45" si="70">+AB45+0</f>
        <v>3</v>
      </c>
      <c r="AE45" s="30">
        <f t="shared" si="70"/>
        <v>217</v>
      </c>
      <c r="AF45" s="29">
        <f t="shared" si="70"/>
        <v>3</v>
      </c>
      <c r="AG45" s="30">
        <f t="shared" si="70"/>
        <v>217</v>
      </c>
      <c r="AH45" s="29">
        <f t="shared" si="70"/>
        <v>3</v>
      </c>
      <c r="AI45" s="30">
        <f t="shared" si="70"/>
        <v>217</v>
      </c>
      <c r="AJ45" s="29">
        <f t="shared" si="58"/>
        <v>3</v>
      </c>
      <c r="AK45" s="30">
        <f t="shared" si="59"/>
        <v>217</v>
      </c>
      <c r="AL45" s="29">
        <f>+AJ45+0-1</f>
        <v>2</v>
      </c>
      <c r="AM45" s="30">
        <f>+AK45+0-65</f>
        <v>152</v>
      </c>
      <c r="AN45" s="99">
        <f t="shared" si="9"/>
        <v>2</v>
      </c>
      <c r="AO45" s="100">
        <f t="shared" si="10"/>
        <v>152</v>
      </c>
    </row>
    <row r="46" spans="1:41" x14ac:dyDescent="0.25">
      <c r="A46" s="67"/>
      <c r="B46" s="1" t="s">
        <v>122</v>
      </c>
      <c r="C46" s="1">
        <v>1</v>
      </c>
      <c r="D46" s="13">
        <f t="shared" si="61"/>
        <v>4.9261083743842361E-4</v>
      </c>
      <c r="E46" s="1">
        <v>26</v>
      </c>
      <c r="F46" s="13">
        <f>+E46/$E$158</f>
        <v>2.6883944081396312E-4</v>
      </c>
      <c r="G46" s="16">
        <f t="shared" si="5"/>
        <v>26</v>
      </c>
      <c r="H46" s="2">
        <v>1</v>
      </c>
      <c r="I46" s="9"/>
      <c r="J46" s="1"/>
      <c r="K46" s="1"/>
      <c r="L46" s="1"/>
      <c r="M46" s="1"/>
      <c r="N46" s="29">
        <v>0</v>
      </c>
      <c r="O46" s="30">
        <v>0</v>
      </c>
      <c r="P46" s="29">
        <f t="shared" si="67"/>
        <v>0</v>
      </c>
      <c r="Q46" s="30">
        <f t="shared" si="68"/>
        <v>0</v>
      </c>
      <c r="R46" s="29">
        <f t="shared" si="48"/>
        <v>0</v>
      </c>
      <c r="S46" s="30">
        <f t="shared" si="65"/>
        <v>0</v>
      </c>
      <c r="T46" s="29">
        <f t="shared" si="66"/>
        <v>0</v>
      </c>
      <c r="U46" s="30">
        <f t="shared" si="69"/>
        <v>0</v>
      </c>
      <c r="V46" s="29">
        <f t="shared" si="69"/>
        <v>0</v>
      </c>
      <c r="W46" s="30">
        <f t="shared" si="69"/>
        <v>0</v>
      </c>
      <c r="X46" s="29">
        <f t="shared" si="63"/>
        <v>0</v>
      </c>
      <c r="Y46" s="30">
        <f t="shared" si="64"/>
        <v>0</v>
      </c>
      <c r="Z46" s="29">
        <f t="shared" si="56"/>
        <v>0</v>
      </c>
      <c r="AA46" s="30">
        <f t="shared" si="56"/>
        <v>0</v>
      </c>
      <c r="AB46" s="29">
        <f t="shared" si="53"/>
        <v>0</v>
      </c>
      <c r="AC46" s="30">
        <f>+AA46+0</f>
        <v>0</v>
      </c>
      <c r="AD46" s="29">
        <f t="shared" ref="AD46:AE49" si="71">+AB46+0</f>
        <v>0</v>
      </c>
      <c r="AE46" s="30">
        <f t="shared" si="71"/>
        <v>0</v>
      </c>
      <c r="AF46" s="29">
        <f>+AD46+1</f>
        <v>1</v>
      </c>
      <c r="AG46" s="30">
        <f>+AE46+26</f>
        <v>26</v>
      </c>
      <c r="AH46" s="29">
        <f t="shared" ref="AH46:AI53" si="72">+AF46+0</f>
        <v>1</v>
      </c>
      <c r="AI46" s="30">
        <f t="shared" si="72"/>
        <v>26</v>
      </c>
      <c r="AJ46" s="29">
        <f t="shared" si="58"/>
        <v>1</v>
      </c>
      <c r="AK46" s="30">
        <f t="shared" si="59"/>
        <v>26</v>
      </c>
      <c r="AL46" s="29">
        <f>+AJ46+0</f>
        <v>1</v>
      </c>
      <c r="AM46" s="30">
        <f t="shared" si="60"/>
        <v>26</v>
      </c>
      <c r="AN46" s="99">
        <f t="shared" si="9"/>
        <v>1</v>
      </c>
      <c r="AO46" s="100">
        <f t="shared" si="10"/>
        <v>26</v>
      </c>
    </row>
    <row r="47" spans="1:41" x14ac:dyDescent="0.25">
      <c r="A47" s="67"/>
      <c r="B47" s="1" t="s">
        <v>29</v>
      </c>
      <c r="C47" s="35">
        <f>3+(1)</f>
        <v>4</v>
      </c>
      <c r="D47" s="13">
        <f t="shared" si="61"/>
        <v>1.9704433497536944E-3</v>
      </c>
      <c r="E47" s="35">
        <f>60+49+28+28+(41)</f>
        <v>206</v>
      </c>
      <c r="F47" s="13">
        <f>+E47/$E$158</f>
        <v>2.1300355695260155E-3</v>
      </c>
      <c r="G47" s="16">
        <f t="shared" si="5"/>
        <v>51.5</v>
      </c>
      <c r="H47" s="34">
        <f>2+(1)</f>
        <v>3</v>
      </c>
      <c r="I47" s="33"/>
      <c r="J47" s="35">
        <v>1</v>
      </c>
      <c r="K47" s="35"/>
      <c r="L47" s="1"/>
      <c r="M47" s="1"/>
      <c r="N47" s="29">
        <v>0</v>
      </c>
      <c r="O47" s="30">
        <v>0</v>
      </c>
      <c r="P47" s="29">
        <f t="shared" si="67"/>
        <v>0</v>
      </c>
      <c r="Q47" s="30">
        <f t="shared" si="68"/>
        <v>0</v>
      </c>
      <c r="R47" s="29">
        <f t="shared" si="48"/>
        <v>0</v>
      </c>
      <c r="S47" s="30">
        <f t="shared" si="65"/>
        <v>0</v>
      </c>
      <c r="T47" s="29">
        <f t="shared" si="66"/>
        <v>0</v>
      </c>
      <c r="U47" s="30">
        <f t="shared" si="69"/>
        <v>0</v>
      </c>
      <c r="V47" s="29">
        <f t="shared" si="69"/>
        <v>0</v>
      </c>
      <c r="W47" s="30">
        <f t="shared" si="69"/>
        <v>0</v>
      </c>
      <c r="X47" s="29">
        <f t="shared" si="63"/>
        <v>0</v>
      </c>
      <c r="Y47" s="30">
        <f t="shared" si="64"/>
        <v>0</v>
      </c>
      <c r="Z47" s="29">
        <f t="shared" si="56"/>
        <v>0</v>
      </c>
      <c r="AA47" s="30">
        <f t="shared" si="56"/>
        <v>0</v>
      </c>
      <c r="AB47" s="29">
        <f>+Z47+2</f>
        <v>2</v>
      </c>
      <c r="AC47" s="30">
        <f>+AA47+60+49</f>
        <v>109</v>
      </c>
      <c r="AD47" s="29">
        <f t="shared" si="71"/>
        <v>2</v>
      </c>
      <c r="AE47" s="30">
        <f t="shared" si="71"/>
        <v>109</v>
      </c>
      <c r="AF47" s="29">
        <f t="shared" ref="AF47:AG53" si="73">+AD47+0</f>
        <v>2</v>
      </c>
      <c r="AG47" s="30">
        <f t="shared" si="73"/>
        <v>109</v>
      </c>
      <c r="AH47" s="29">
        <f t="shared" si="72"/>
        <v>2</v>
      </c>
      <c r="AI47" s="30">
        <f t="shared" si="72"/>
        <v>109</v>
      </c>
      <c r="AJ47" s="29">
        <f>+AH47+1</f>
        <v>3</v>
      </c>
      <c r="AK47" s="30">
        <f>+AI47+28+28</f>
        <v>165</v>
      </c>
      <c r="AL47" s="31">
        <f>+AJ47+0</f>
        <v>3</v>
      </c>
      <c r="AM47" s="32">
        <f t="shared" ref="AM47:AM53" si="74">+AK47+0</f>
        <v>165</v>
      </c>
      <c r="AN47" s="95">
        <f>+AL47+0+(1)</f>
        <v>4</v>
      </c>
      <c r="AO47" s="96">
        <f>+AM47+0+(41)</f>
        <v>206</v>
      </c>
    </row>
    <row r="48" spans="1:41" x14ac:dyDescent="0.25">
      <c r="A48" s="67"/>
      <c r="B48" s="1" t="s">
        <v>151</v>
      </c>
      <c r="C48" s="1">
        <v>0</v>
      </c>
      <c r="D48" s="13">
        <f t="shared" si="61"/>
        <v>0</v>
      </c>
      <c r="E48" s="1">
        <v>0</v>
      </c>
      <c r="F48" s="13">
        <f>+E48/$E$158</f>
        <v>0</v>
      </c>
      <c r="G48" s="16" t="str">
        <f>IF(C48=0,"",E48/C48)</f>
        <v/>
      </c>
      <c r="H48" s="2"/>
      <c r="I48" s="9"/>
      <c r="J48" s="1"/>
      <c r="K48" s="1"/>
      <c r="L48" s="1"/>
      <c r="M48" s="1"/>
      <c r="N48" s="29">
        <v>0</v>
      </c>
      <c r="O48" s="30">
        <v>0</v>
      </c>
      <c r="P48" s="29">
        <f t="shared" si="67"/>
        <v>0</v>
      </c>
      <c r="Q48" s="30">
        <f t="shared" si="68"/>
        <v>0</v>
      </c>
      <c r="R48" s="29">
        <f t="shared" si="48"/>
        <v>0</v>
      </c>
      <c r="S48" s="30">
        <f t="shared" si="65"/>
        <v>0</v>
      </c>
      <c r="T48" s="29">
        <f t="shared" si="66"/>
        <v>0</v>
      </c>
      <c r="U48" s="30">
        <f t="shared" si="69"/>
        <v>0</v>
      </c>
      <c r="V48" s="29">
        <f t="shared" si="69"/>
        <v>0</v>
      </c>
      <c r="W48" s="30">
        <f t="shared" si="69"/>
        <v>0</v>
      </c>
      <c r="X48" s="29">
        <f t="shared" si="63"/>
        <v>0</v>
      </c>
      <c r="Y48" s="30">
        <f t="shared" si="64"/>
        <v>0</v>
      </c>
      <c r="Z48" s="29">
        <f t="shared" si="56"/>
        <v>0</v>
      </c>
      <c r="AA48" s="30">
        <f t="shared" si="56"/>
        <v>0</v>
      </c>
      <c r="AB48" s="29">
        <f>+Z48+0</f>
        <v>0</v>
      </c>
      <c r="AC48" s="30">
        <f>+AA48+0</f>
        <v>0</v>
      </c>
      <c r="AD48" s="29">
        <f t="shared" si="71"/>
        <v>0</v>
      </c>
      <c r="AE48" s="30">
        <f t="shared" si="71"/>
        <v>0</v>
      </c>
      <c r="AF48" s="29">
        <f t="shared" si="73"/>
        <v>0</v>
      </c>
      <c r="AG48" s="30">
        <f t="shared" si="73"/>
        <v>0</v>
      </c>
      <c r="AH48" s="29">
        <f t="shared" si="72"/>
        <v>0</v>
      </c>
      <c r="AI48" s="30">
        <f t="shared" si="72"/>
        <v>0</v>
      </c>
      <c r="AJ48" s="29">
        <f>+AH48+0</f>
        <v>0</v>
      </c>
      <c r="AK48" s="30">
        <f>+AI48+0</f>
        <v>0</v>
      </c>
      <c r="AL48" s="31">
        <f>+AJ48+0</f>
        <v>0</v>
      </c>
      <c r="AM48" s="32">
        <f t="shared" si="74"/>
        <v>0</v>
      </c>
      <c r="AN48" s="95">
        <f t="shared" si="9"/>
        <v>0</v>
      </c>
      <c r="AO48" s="96">
        <f t="shared" si="10"/>
        <v>0</v>
      </c>
    </row>
    <row r="49" spans="1:41" x14ac:dyDescent="0.25">
      <c r="A49" s="67"/>
      <c r="B49" s="1" t="s">
        <v>30</v>
      </c>
      <c r="C49" s="1">
        <v>1</v>
      </c>
      <c r="D49" s="13">
        <f t="shared" si="61"/>
        <v>4.9261083743842361E-4</v>
      </c>
      <c r="E49" s="1">
        <v>58</v>
      </c>
      <c r="F49" s="13">
        <f t="shared" ref="F49:F80" si="75">+E49/$E$158</f>
        <v>5.997187525849946E-4</v>
      </c>
      <c r="G49" s="16">
        <f t="shared" si="5"/>
        <v>58</v>
      </c>
      <c r="H49" s="2"/>
      <c r="I49" s="9"/>
      <c r="J49" s="1"/>
      <c r="K49" s="1"/>
      <c r="L49" s="1">
        <v>1</v>
      </c>
      <c r="M49" s="1"/>
      <c r="N49" s="29">
        <v>0</v>
      </c>
      <c r="O49" s="30">
        <v>0</v>
      </c>
      <c r="P49" s="29">
        <f t="shared" si="67"/>
        <v>0</v>
      </c>
      <c r="Q49" s="30">
        <f t="shared" si="68"/>
        <v>0</v>
      </c>
      <c r="R49" s="29">
        <f t="shared" si="48"/>
        <v>0</v>
      </c>
      <c r="S49" s="30">
        <f t="shared" si="65"/>
        <v>0</v>
      </c>
      <c r="T49" s="29">
        <f t="shared" si="66"/>
        <v>0</v>
      </c>
      <c r="U49" s="30">
        <f t="shared" si="69"/>
        <v>0</v>
      </c>
      <c r="V49" s="29">
        <f t="shared" si="69"/>
        <v>0</v>
      </c>
      <c r="W49" s="30">
        <f t="shared" si="69"/>
        <v>0</v>
      </c>
      <c r="X49" s="29">
        <f t="shared" si="63"/>
        <v>0</v>
      </c>
      <c r="Y49" s="30">
        <f t="shared" si="64"/>
        <v>0</v>
      </c>
      <c r="Z49" s="29">
        <f>+X49+1</f>
        <v>1</v>
      </c>
      <c r="AA49" s="30">
        <f>+Y49+58</f>
        <v>58</v>
      </c>
      <c r="AB49" s="29">
        <f t="shared" ref="AB49:AC52" si="76">+Z49+0</f>
        <v>1</v>
      </c>
      <c r="AC49" s="30">
        <f t="shared" si="76"/>
        <v>58</v>
      </c>
      <c r="AD49" s="29">
        <f t="shared" si="71"/>
        <v>1</v>
      </c>
      <c r="AE49" s="30">
        <f t="shared" si="71"/>
        <v>58</v>
      </c>
      <c r="AF49" s="29">
        <f t="shared" si="73"/>
        <v>1</v>
      </c>
      <c r="AG49" s="30">
        <f t="shared" si="73"/>
        <v>58</v>
      </c>
      <c r="AH49" s="29">
        <f t="shared" si="72"/>
        <v>1</v>
      </c>
      <c r="AI49" s="30">
        <f t="shared" si="72"/>
        <v>58</v>
      </c>
      <c r="AJ49" s="29">
        <f t="shared" si="58"/>
        <v>1</v>
      </c>
      <c r="AK49" s="30">
        <f t="shared" si="59"/>
        <v>58</v>
      </c>
      <c r="AL49" s="29">
        <f t="shared" si="15"/>
        <v>1</v>
      </c>
      <c r="AM49" s="30">
        <f t="shared" si="74"/>
        <v>58</v>
      </c>
      <c r="AN49" s="99">
        <f t="shared" si="9"/>
        <v>1</v>
      </c>
      <c r="AO49" s="100">
        <f t="shared" si="10"/>
        <v>58</v>
      </c>
    </row>
    <row r="50" spans="1:41" x14ac:dyDescent="0.25">
      <c r="A50" s="67"/>
      <c r="B50" s="1" t="s">
        <v>31</v>
      </c>
      <c r="C50" s="1">
        <v>2</v>
      </c>
      <c r="D50" s="13">
        <f t="shared" si="61"/>
        <v>9.8522167487684722E-4</v>
      </c>
      <c r="E50" s="1">
        <v>108</v>
      </c>
      <c r="F50" s="13">
        <f t="shared" si="75"/>
        <v>1.1167176772272315E-3</v>
      </c>
      <c r="G50" s="16">
        <f t="shared" si="5"/>
        <v>54</v>
      </c>
      <c r="H50" s="2">
        <v>1</v>
      </c>
      <c r="I50" s="9"/>
      <c r="J50" s="1"/>
      <c r="K50" s="1"/>
      <c r="L50" s="1">
        <v>1</v>
      </c>
      <c r="M50" s="1"/>
      <c r="N50" s="29">
        <v>0</v>
      </c>
      <c r="O50" s="30">
        <v>0</v>
      </c>
      <c r="P50" s="29">
        <f t="shared" si="67"/>
        <v>0</v>
      </c>
      <c r="Q50" s="30">
        <f t="shared" si="68"/>
        <v>0</v>
      </c>
      <c r="R50" s="29">
        <f t="shared" si="48"/>
        <v>0</v>
      </c>
      <c r="S50" s="30">
        <f t="shared" si="65"/>
        <v>0</v>
      </c>
      <c r="T50" s="29">
        <f t="shared" si="66"/>
        <v>0</v>
      </c>
      <c r="U50" s="30">
        <f>+S50+0</f>
        <v>0</v>
      </c>
      <c r="V50" s="29">
        <f>+T50+1</f>
        <v>1</v>
      </c>
      <c r="W50" s="30">
        <f>+U50+83</f>
        <v>83</v>
      </c>
      <c r="X50" s="29">
        <f t="shared" si="63"/>
        <v>1</v>
      </c>
      <c r="Y50" s="30">
        <f t="shared" si="64"/>
        <v>83</v>
      </c>
      <c r="Z50" s="29">
        <f>+X50+0</f>
        <v>1</v>
      </c>
      <c r="AA50" s="30">
        <f>+Y50+0</f>
        <v>83</v>
      </c>
      <c r="AB50" s="29">
        <f t="shared" si="76"/>
        <v>1</v>
      </c>
      <c r="AC50" s="30">
        <f t="shared" si="76"/>
        <v>83</v>
      </c>
      <c r="AD50" s="29">
        <f>+AB50+1</f>
        <v>2</v>
      </c>
      <c r="AE50" s="30">
        <f>+AC50+25</f>
        <v>108</v>
      </c>
      <c r="AF50" s="29">
        <f t="shared" si="73"/>
        <v>2</v>
      </c>
      <c r="AG50" s="30">
        <f t="shared" si="73"/>
        <v>108</v>
      </c>
      <c r="AH50" s="29">
        <f t="shared" si="72"/>
        <v>2</v>
      </c>
      <c r="AI50" s="30">
        <f t="shared" si="72"/>
        <v>108</v>
      </c>
      <c r="AJ50" s="29">
        <f t="shared" si="58"/>
        <v>2</v>
      </c>
      <c r="AK50" s="30">
        <f t="shared" si="59"/>
        <v>108</v>
      </c>
      <c r="AL50" s="29">
        <f t="shared" si="15"/>
        <v>2</v>
      </c>
      <c r="AM50" s="30">
        <f t="shared" si="74"/>
        <v>108</v>
      </c>
      <c r="AN50" s="99">
        <f t="shared" si="9"/>
        <v>2</v>
      </c>
      <c r="AO50" s="100">
        <f t="shared" si="10"/>
        <v>108</v>
      </c>
    </row>
    <row r="51" spans="1:41" x14ac:dyDescent="0.25">
      <c r="A51" s="67"/>
      <c r="B51" s="1" t="s">
        <v>32</v>
      </c>
      <c r="C51" s="1">
        <v>1</v>
      </c>
      <c r="D51" s="13">
        <f t="shared" si="61"/>
        <v>4.9261083743842361E-4</v>
      </c>
      <c r="E51" s="1">
        <v>23</v>
      </c>
      <c r="F51" s="13">
        <f t="shared" si="75"/>
        <v>2.3781950533542889E-4</v>
      </c>
      <c r="G51" s="16">
        <f t="shared" si="5"/>
        <v>23</v>
      </c>
      <c r="H51" s="2">
        <v>1</v>
      </c>
      <c r="I51" s="9"/>
      <c r="J51" s="1"/>
      <c r="K51" s="1"/>
      <c r="L51" s="1"/>
      <c r="M51" s="1"/>
      <c r="N51" s="29">
        <v>0</v>
      </c>
      <c r="O51" s="30">
        <v>0</v>
      </c>
      <c r="P51" s="29">
        <f t="shared" si="67"/>
        <v>0</v>
      </c>
      <c r="Q51" s="30">
        <f t="shared" si="68"/>
        <v>0</v>
      </c>
      <c r="R51" s="29">
        <f t="shared" si="48"/>
        <v>0</v>
      </c>
      <c r="S51" s="30">
        <f t="shared" si="65"/>
        <v>0</v>
      </c>
      <c r="T51" s="29">
        <f t="shared" si="66"/>
        <v>0</v>
      </c>
      <c r="U51" s="30">
        <f>+S51+0</f>
        <v>0</v>
      </c>
      <c r="V51" s="29">
        <f t="shared" ref="V51:W53" si="77">+T51+0</f>
        <v>0</v>
      </c>
      <c r="W51" s="30">
        <f t="shared" si="77"/>
        <v>0</v>
      </c>
      <c r="X51" s="29">
        <f t="shared" si="63"/>
        <v>0</v>
      </c>
      <c r="Y51" s="30">
        <f t="shared" si="64"/>
        <v>0</v>
      </c>
      <c r="Z51" s="29">
        <f>+X51+1</f>
        <v>1</v>
      </c>
      <c r="AA51" s="30">
        <f>+Y51+23</f>
        <v>23</v>
      </c>
      <c r="AB51" s="29">
        <f t="shared" si="76"/>
        <v>1</v>
      </c>
      <c r="AC51" s="30">
        <f t="shared" si="76"/>
        <v>23</v>
      </c>
      <c r="AD51" s="29">
        <f t="shared" ref="AD51:AE53" si="78">+AB51+0</f>
        <v>1</v>
      </c>
      <c r="AE51" s="30">
        <f t="shared" si="78"/>
        <v>23</v>
      </c>
      <c r="AF51" s="29">
        <f t="shared" si="73"/>
        <v>1</v>
      </c>
      <c r="AG51" s="30">
        <f t="shared" si="73"/>
        <v>23</v>
      </c>
      <c r="AH51" s="29">
        <f t="shared" si="72"/>
        <v>1</v>
      </c>
      <c r="AI51" s="30">
        <f t="shared" si="72"/>
        <v>23</v>
      </c>
      <c r="AJ51" s="29">
        <f t="shared" si="58"/>
        <v>1</v>
      </c>
      <c r="AK51" s="30">
        <f t="shared" si="59"/>
        <v>23</v>
      </c>
      <c r="AL51" s="29">
        <f t="shared" si="15"/>
        <v>1</v>
      </c>
      <c r="AM51" s="30">
        <f t="shared" si="74"/>
        <v>23</v>
      </c>
      <c r="AN51" s="99">
        <f t="shared" si="9"/>
        <v>1</v>
      </c>
      <c r="AO51" s="100">
        <f t="shared" si="10"/>
        <v>23</v>
      </c>
    </row>
    <row r="52" spans="1:41" x14ac:dyDescent="0.25">
      <c r="A52" s="67"/>
      <c r="B52" s="1" t="s">
        <v>152</v>
      </c>
      <c r="C52" s="1">
        <v>0</v>
      </c>
      <c r="D52" s="13">
        <f t="shared" si="61"/>
        <v>0</v>
      </c>
      <c r="E52" s="1">
        <v>0</v>
      </c>
      <c r="F52" s="13">
        <f t="shared" si="75"/>
        <v>0</v>
      </c>
      <c r="G52" s="16" t="str">
        <f>IF(C52=0,"",E52/C52)</f>
        <v/>
      </c>
      <c r="H52" s="2"/>
      <c r="I52" s="9"/>
      <c r="J52" s="1"/>
      <c r="K52" s="1"/>
      <c r="L52" s="1"/>
      <c r="M52" s="1"/>
      <c r="N52" s="29">
        <v>0</v>
      </c>
      <c r="O52" s="30">
        <v>0</v>
      </c>
      <c r="P52" s="29">
        <f t="shared" si="67"/>
        <v>0</v>
      </c>
      <c r="Q52" s="30">
        <f t="shared" si="68"/>
        <v>0</v>
      </c>
      <c r="R52" s="29">
        <f t="shared" si="48"/>
        <v>0</v>
      </c>
      <c r="S52" s="30">
        <f t="shared" si="65"/>
        <v>0</v>
      </c>
      <c r="T52" s="29">
        <f t="shared" si="66"/>
        <v>0</v>
      </c>
      <c r="U52" s="30">
        <f>+S52+0</f>
        <v>0</v>
      </c>
      <c r="V52" s="29">
        <f t="shared" si="77"/>
        <v>0</v>
      </c>
      <c r="W52" s="30">
        <f t="shared" si="77"/>
        <v>0</v>
      </c>
      <c r="X52" s="29">
        <f t="shared" si="63"/>
        <v>0</v>
      </c>
      <c r="Y52" s="30">
        <f t="shared" si="64"/>
        <v>0</v>
      </c>
      <c r="Z52" s="29">
        <f>+X52+0</f>
        <v>0</v>
      </c>
      <c r="AA52" s="30">
        <f>+Y52+0</f>
        <v>0</v>
      </c>
      <c r="AB52" s="29">
        <f t="shared" si="76"/>
        <v>0</v>
      </c>
      <c r="AC52" s="30">
        <f t="shared" si="76"/>
        <v>0</v>
      </c>
      <c r="AD52" s="29">
        <f t="shared" si="78"/>
        <v>0</v>
      </c>
      <c r="AE52" s="30">
        <f t="shared" si="78"/>
        <v>0</v>
      </c>
      <c r="AF52" s="29">
        <f t="shared" si="73"/>
        <v>0</v>
      </c>
      <c r="AG52" s="30">
        <f t="shared" si="73"/>
        <v>0</v>
      </c>
      <c r="AH52" s="29">
        <f t="shared" si="72"/>
        <v>0</v>
      </c>
      <c r="AI52" s="30">
        <f t="shared" si="72"/>
        <v>0</v>
      </c>
      <c r="AJ52" s="29">
        <f>+AH52+0</f>
        <v>0</v>
      </c>
      <c r="AK52" s="30">
        <f>+AI52+0</f>
        <v>0</v>
      </c>
      <c r="AL52" s="31">
        <f t="shared" si="15"/>
        <v>0</v>
      </c>
      <c r="AM52" s="32">
        <f t="shared" si="74"/>
        <v>0</v>
      </c>
      <c r="AN52" s="95">
        <f t="shared" si="9"/>
        <v>0</v>
      </c>
      <c r="AO52" s="96">
        <f t="shared" si="10"/>
        <v>0</v>
      </c>
    </row>
    <row r="53" spans="1:41" x14ac:dyDescent="0.25">
      <c r="A53" s="68"/>
      <c r="B53" s="1" t="s">
        <v>33</v>
      </c>
      <c r="C53" s="1">
        <v>2</v>
      </c>
      <c r="D53" s="13">
        <f t="shared" si="61"/>
        <v>9.8522167487684722E-4</v>
      </c>
      <c r="E53" s="1">
        <f>39+2+20+27</f>
        <v>88</v>
      </c>
      <c r="F53" s="13">
        <f t="shared" si="75"/>
        <v>9.099181073703367E-4</v>
      </c>
      <c r="G53" s="16">
        <f t="shared" si="5"/>
        <v>44</v>
      </c>
      <c r="H53" s="2">
        <v>1</v>
      </c>
      <c r="I53" s="9"/>
      <c r="J53" s="1">
        <v>1</v>
      </c>
      <c r="K53" s="1"/>
      <c r="L53" s="1"/>
      <c r="M53" s="1"/>
      <c r="N53" s="29">
        <v>0</v>
      </c>
      <c r="O53" s="30">
        <v>0</v>
      </c>
      <c r="P53" s="29">
        <f t="shared" si="67"/>
        <v>0</v>
      </c>
      <c r="Q53" s="30">
        <f t="shared" si="68"/>
        <v>0</v>
      </c>
      <c r="R53" s="29">
        <f t="shared" si="48"/>
        <v>0</v>
      </c>
      <c r="S53" s="30">
        <f t="shared" si="65"/>
        <v>0</v>
      </c>
      <c r="T53" s="29">
        <f t="shared" si="66"/>
        <v>0</v>
      </c>
      <c r="U53" s="30">
        <f>+S53+0</f>
        <v>0</v>
      </c>
      <c r="V53" s="29">
        <f t="shared" si="77"/>
        <v>0</v>
      </c>
      <c r="W53" s="30">
        <f t="shared" si="77"/>
        <v>0</v>
      </c>
      <c r="X53" s="29">
        <f>+V53+1</f>
        <v>1</v>
      </c>
      <c r="Y53" s="30">
        <f>+W53+39+2</f>
        <v>41</v>
      </c>
      <c r="Z53" s="29">
        <f>+X53+0</f>
        <v>1</v>
      </c>
      <c r="AA53" s="30">
        <f>+Y53+0</f>
        <v>41</v>
      </c>
      <c r="AB53" s="29">
        <f>+Z53+1</f>
        <v>2</v>
      </c>
      <c r="AC53" s="30">
        <f>+AA53+20+27</f>
        <v>88</v>
      </c>
      <c r="AD53" s="29">
        <f t="shared" si="78"/>
        <v>2</v>
      </c>
      <c r="AE53" s="30">
        <f t="shared" si="78"/>
        <v>88</v>
      </c>
      <c r="AF53" s="29">
        <f t="shared" si="73"/>
        <v>2</v>
      </c>
      <c r="AG53" s="30">
        <f t="shared" si="73"/>
        <v>88</v>
      </c>
      <c r="AH53" s="29">
        <f t="shared" si="72"/>
        <v>2</v>
      </c>
      <c r="AI53" s="30">
        <f t="shared" si="72"/>
        <v>88</v>
      </c>
      <c r="AJ53" s="29">
        <f t="shared" si="58"/>
        <v>2</v>
      </c>
      <c r="AK53" s="30">
        <f t="shared" si="59"/>
        <v>88</v>
      </c>
      <c r="AL53" s="29">
        <f t="shared" si="15"/>
        <v>2</v>
      </c>
      <c r="AM53" s="30">
        <f t="shared" si="74"/>
        <v>88</v>
      </c>
      <c r="AN53" s="99">
        <f t="shared" si="9"/>
        <v>2</v>
      </c>
      <c r="AO53" s="100">
        <f t="shared" si="10"/>
        <v>88</v>
      </c>
    </row>
    <row r="54" spans="1:41" x14ac:dyDescent="0.25">
      <c r="A54" s="73" t="s">
        <v>137</v>
      </c>
      <c r="B54" s="74"/>
      <c r="C54" s="21">
        <f>SUM(C36:C53)</f>
        <v>54</v>
      </c>
      <c r="D54" s="14">
        <f t="shared" si="61"/>
        <v>2.6600985221674877E-2</v>
      </c>
      <c r="E54" s="21">
        <f>SUM(E36:E53)</f>
        <v>3408</v>
      </c>
      <c r="F54" s="14">
        <f t="shared" si="75"/>
        <v>3.5238646703614859E-2</v>
      </c>
      <c r="G54" s="17">
        <f t="shared" si="5"/>
        <v>63.111111111111114</v>
      </c>
      <c r="H54" s="18">
        <f>SUM(H36:H53)</f>
        <v>37</v>
      </c>
      <c r="I54" s="63">
        <f>+H54/$C$54</f>
        <v>0.68518518518518523</v>
      </c>
      <c r="J54" s="21">
        <f>SUM(J36:J53)</f>
        <v>11</v>
      </c>
      <c r="K54" s="63">
        <f>+J54/$C$54</f>
        <v>0.20370370370370369</v>
      </c>
      <c r="L54" s="21">
        <f>SUM(L36:L53)</f>
        <v>6</v>
      </c>
      <c r="M54" s="63">
        <f>+L54/$C$54</f>
        <v>0.1111111111111111</v>
      </c>
      <c r="N54" s="24">
        <f t="shared" ref="N54:AO54" si="79">SUM(N36:N53)</f>
        <v>24</v>
      </c>
      <c r="O54" s="27">
        <f t="shared" si="79"/>
        <v>2090</v>
      </c>
      <c r="P54" s="24">
        <f t="shared" si="79"/>
        <v>25</v>
      </c>
      <c r="Q54" s="27">
        <f t="shared" si="79"/>
        <v>2161</v>
      </c>
      <c r="R54" s="24">
        <f t="shared" si="79"/>
        <v>25</v>
      </c>
      <c r="S54" s="27">
        <f t="shared" si="79"/>
        <v>2161</v>
      </c>
      <c r="T54" s="24">
        <f t="shared" si="79"/>
        <v>24</v>
      </c>
      <c r="U54" s="27">
        <f t="shared" si="79"/>
        <v>2005</v>
      </c>
      <c r="V54" s="24">
        <f t="shared" si="79"/>
        <v>28</v>
      </c>
      <c r="W54" s="27">
        <f t="shared" si="79"/>
        <v>2269</v>
      </c>
      <c r="X54" s="24">
        <f t="shared" si="79"/>
        <v>32</v>
      </c>
      <c r="Y54" s="27">
        <f t="shared" si="79"/>
        <v>2388</v>
      </c>
      <c r="Z54" s="24">
        <f t="shared" si="79"/>
        <v>36</v>
      </c>
      <c r="AA54" s="27">
        <f t="shared" si="79"/>
        <v>2616</v>
      </c>
      <c r="AB54" s="24">
        <f t="shared" si="79"/>
        <v>40</v>
      </c>
      <c r="AC54" s="27">
        <f t="shared" si="79"/>
        <v>2789</v>
      </c>
      <c r="AD54" s="24">
        <f t="shared" si="79"/>
        <v>43</v>
      </c>
      <c r="AE54" s="27">
        <f t="shared" si="79"/>
        <v>2865</v>
      </c>
      <c r="AF54" s="24">
        <f t="shared" si="79"/>
        <v>51</v>
      </c>
      <c r="AG54" s="27">
        <f t="shared" si="79"/>
        <v>3158</v>
      </c>
      <c r="AH54" s="24">
        <f t="shared" si="79"/>
        <v>55</v>
      </c>
      <c r="AI54" s="27">
        <f t="shared" si="79"/>
        <v>3461</v>
      </c>
      <c r="AJ54" s="24">
        <f t="shared" si="79"/>
        <v>54</v>
      </c>
      <c r="AK54" s="27">
        <f t="shared" si="79"/>
        <v>3463</v>
      </c>
      <c r="AL54" s="24">
        <f t="shared" si="79"/>
        <v>54</v>
      </c>
      <c r="AM54" s="27">
        <f t="shared" si="79"/>
        <v>3439</v>
      </c>
      <c r="AN54" s="24">
        <f t="shared" si="79"/>
        <v>54</v>
      </c>
      <c r="AO54" s="27">
        <f t="shared" si="79"/>
        <v>3408</v>
      </c>
    </row>
    <row r="55" spans="1:41" x14ac:dyDescent="0.25">
      <c r="A55" s="66">
        <v>7</v>
      </c>
      <c r="B55" s="1" t="s">
        <v>34</v>
      </c>
      <c r="C55" s="1">
        <v>29</v>
      </c>
      <c r="D55" s="13">
        <f t="shared" si="61"/>
        <v>1.4285714285714285E-2</v>
      </c>
      <c r="E55" s="1">
        <f>28+105+107+43+27+88+90+43+50+52+114+38+34+43+26+20+30+102+107+42+68+31+46+60+30+35+38+64+60</f>
        <v>1621</v>
      </c>
      <c r="F55" s="13">
        <f t="shared" si="75"/>
        <v>1.6761105136901315E-2</v>
      </c>
      <c r="G55" s="16">
        <f t="shared" si="5"/>
        <v>55.896551724137929</v>
      </c>
      <c r="H55" s="2">
        <v>29</v>
      </c>
      <c r="I55" s="9"/>
      <c r="J55" s="1"/>
      <c r="K55" s="1"/>
      <c r="L55" s="1"/>
      <c r="M55" s="1"/>
      <c r="N55" s="29">
        <v>3</v>
      </c>
      <c r="O55" s="30">
        <f>28+105+107</f>
        <v>240</v>
      </c>
      <c r="P55" s="29">
        <f t="shared" ref="P55:S57" si="80">+N55+0</f>
        <v>3</v>
      </c>
      <c r="Q55" s="30">
        <f t="shared" si="80"/>
        <v>240</v>
      </c>
      <c r="R55" s="29">
        <f t="shared" si="80"/>
        <v>3</v>
      </c>
      <c r="S55" s="30">
        <f t="shared" si="80"/>
        <v>240</v>
      </c>
      <c r="T55" s="29">
        <f>+R55+7</f>
        <v>10</v>
      </c>
      <c r="U55" s="30">
        <f>+S55+43+27+88+90+43+50+52</f>
        <v>633</v>
      </c>
      <c r="V55" s="29">
        <f>+T55+0</f>
        <v>10</v>
      </c>
      <c r="W55" s="30">
        <f>+U55+0</f>
        <v>633</v>
      </c>
      <c r="X55" s="29">
        <f>+V55+7</f>
        <v>17</v>
      </c>
      <c r="Y55" s="30">
        <f>+W55+114+38+34+43+26+20+30</f>
        <v>938</v>
      </c>
      <c r="Z55" s="29">
        <f>+X55+1</f>
        <v>18</v>
      </c>
      <c r="AA55" s="30">
        <f>+Y55+86</f>
        <v>1024</v>
      </c>
      <c r="AB55" s="29">
        <f>+Z55+4</f>
        <v>22</v>
      </c>
      <c r="AC55" s="30">
        <f>+AA55+102+107+42+68</f>
        <v>1343</v>
      </c>
      <c r="AD55" s="29">
        <f>+AB55+4</f>
        <v>26</v>
      </c>
      <c r="AE55" s="30">
        <f>+AC55+31+46+60</f>
        <v>1480</v>
      </c>
      <c r="AF55" s="29">
        <f>+AD55+1</f>
        <v>27</v>
      </c>
      <c r="AG55" s="30">
        <f>+AE55+30</f>
        <v>1510</v>
      </c>
      <c r="AH55" s="29">
        <f>+AF55+0</f>
        <v>27</v>
      </c>
      <c r="AI55" s="30">
        <f>+AG55+0</f>
        <v>1510</v>
      </c>
      <c r="AJ55" s="29">
        <f>+AH55+4-2</f>
        <v>29</v>
      </c>
      <c r="AK55" s="30">
        <f>+AI55+35+38+64+60-86</f>
        <v>1621</v>
      </c>
      <c r="AL55" s="29">
        <f>+AJ55+0</f>
        <v>29</v>
      </c>
      <c r="AM55" s="30">
        <f t="shared" ref="AM55:AM78" si="81">+AK55+0</f>
        <v>1621</v>
      </c>
      <c r="AN55" s="99">
        <f t="shared" si="9"/>
        <v>29</v>
      </c>
      <c r="AO55" s="100">
        <f t="shared" si="10"/>
        <v>1621</v>
      </c>
    </row>
    <row r="56" spans="1:41" x14ac:dyDescent="0.25">
      <c r="A56" s="67"/>
      <c r="B56" s="1" t="s">
        <v>35</v>
      </c>
      <c r="C56" s="1">
        <v>24</v>
      </c>
      <c r="D56" s="13">
        <f t="shared" si="61"/>
        <v>1.1822660098522168E-2</v>
      </c>
      <c r="E56" s="1">
        <f>40+18+18+7+4+18+8+8+9+9+8+61+62+19+12+25+33+30+26+5+34+26+54+54+5+7+55+8+41+20+44+44</f>
        <v>812</v>
      </c>
      <c r="F56" s="13">
        <f t="shared" si="75"/>
        <v>8.3960625361899251E-3</v>
      </c>
      <c r="G56" s="16">
        <f t="shared" si="5"/>
        <v>33.833333333333336</v>
      </c>
      <c r="H56" s="2">
        <v>12</v>
      </c>
      <c r="I56" s="9"/>
      <c r="J56" s="1">
        <v>7</v>
      </c>
      <c r="K56" s="1"/>
      <c r="L56" s="1">
        <v>5</v>
      </c>
      <c r="M56" s="1"/>
      <c r="N56" s="29">
        <v>2</v>
      </c>
      <c r="O56" s="30">
        <f>40+18+18</f>
        <v>76</v>
      </c>
      <c r="P56" s="29">
        <f t="shared" si="80"/>
        <v>2</v>
      </c>
      <c r="Q56" s="30">
        <f t="shared" si="80"/>
        <v>76</v>
      </c>
      <c r="R56" s="29">
        <f t="shared" si="80"/>
        <v>2</v>
      </c>
      <c r="S56" s="30">
        <f t="shared" si="80"/>
        <v>76</v>
      </c>
      <c r="T56" s="29">
        <f>+R56+0</f>
        <v>2</v>
      </c>
      <c r="U56" s="30">
        <f>+S56+0</f>
        <v>76</v>
      </c>
      <c r="V56" s="29">
        <f>+T56+3</f>
        <v>5</v>
      </c>
      <c r="W56" s="30">
        <f>+U56+7+4+18+8+8</f>
        <v>121</v>
      </c>
      <c r="X56" s="29">
        <f>+V56+0</f>
        <v>5</v>
      </c>
      <c r="Y56" s="30">
        <f>+W56+0</f>
        <v>121</v>
      </c>
      <c r="Z56" s="29">
        <f>+X56+5</f>
        <v>10</v>
      </c>
      <c r="AA56" s="30">
        <f>+Y56+9+9+8+61+62+19+12+25</f>
        <v>326</v>
      </c>
      <c r="AB56" s="29">
        <f>+Z56+2</f>
        <v>12</v>
      </c>
      <c r="AC56" s="30">
        <f>+AA56+33+30</f>
        <v>389</v>
      </c>
      <c r="AD56" s="29">
        <f>+AB56+2</f>
        <v>14</v>
      </c>
      <c r="AE56" s="30">
        <f>+AC56+26+5+34</f>
        <v>454</v>
      </c>
      <c r="AF56" s="29">
        <f>+AD56+5</f>
        <v>19</v>
      </c>
      <c r="AG56" s="30">
        <f>+AE56+26+54+54+5+7+55</f>
        <v>655</v>
      </c>
      <c r="AH56" s="29">
        <f>+AF56+3</f>
        <v>22</v>
      </c>
      <c r="AI56" s="30">
        <f>+AG56+8+41+20</f>
        <v>724</v>
      </c>
      <c r="AJ56" s="29">
        <f>+AH56+2</f>
        <v>24</v>
      </c>
      <c r="AK56" s="30">
        <f>+AI56+44+44</f>
        <v>812</v>
      </c>
      <c r="AL56" s="29">
        <f t="shared" si="15"/>
        <v>24</v>
      </c>
      <c r="AM56" s="30">
        <f t="shared" si="81"/>
        <v>812</v>
      </c>
      <c r="AN56" s="99">
        <f t="shared" si="9"/>
        <v>24</v>
      </c>
      <c r="AO56" s="100">
        <f t="shared" si="10"/>
        <v>812</v>
      </c>
    </row>
    <row r="57" spans="1:41" x14ac:dyDescent="0.25">
      <c r="A57" s="67"/>
      <c r="B57" s="1" t="s">
        <v>145</v>
      </c>
      <c r="C57" s="1">
        <v>4</v>
      </c>
      <c r="D57" s="13">
        <f t="shared" si="61"/>
        <v>1.9704433497536944E-3</v>
      </c>
      <c r="E57" s="1">
        <f>20+38+26+15</f>
        <v>99</v>
      </c>
      <c r="F57" s="13">
        <f t="shared" si="75"/>
        <v>1.0236578707916288E-3</v>
      </c>
      <c r="G57" s="16">
        <f>IF(C57=0,"",E57/C57)</f>
        <v>24.75</v>
      </c>
      <c r="H57" s="2">
        <v>4</v>
      </c>
      <c r="I57" s="9"/>
      <c r="J57" s="1"/>
      <c r="K57" s="1"/>
      <c r="L57" s="1"/>
      <c r="M57" s="1"/>
      <c r="N57" s="29">
        <v>0</v>
      </c>
      <c r="O57" s="30">
        <v>0</v>
      </c>
      <c r="P57" s="29">
        <f t="shared" si="80"/>
        <v>0</v>
      </c>
      <c r="Q57" s="30">
        <f t="shared" si="80"/>
        <v>0</v>
      </c>
      <c r="R57" s="29">
        <f t="shared" si="80"/>
        <v>0</v>
      </c>
      <c r="S57" s="30">
        <f t="shared" si="80"/>
        <v>0</v>
      </c>
      <c r="T57" s="29">
        <f>+R57+0</f>
        <v>0</v>
      </c>
      <c r="U57" s="30">
        <f>+S57+0</f>
        <v>0</v>
      </c>
      <c r="V57" s="29">
        <f>+T57+0</f>
        <v>0</v>
      </c>
      <c r="W57" s="30">
        <f>+U57+0</f>
        <v>0</v>
      </c>
      <c r="X57" s="29">
        <f>+V57+0</f>
        <v>0</v>
      </c>
      <c r="Y57" s="30">
        <f>+W57+0</f>
        <v>0</v>
      </c>
      <c r="Z57" s="29">
        <f t="shared" ref="Z57:AI57" si="82">+X57+0</f>
        <v>0</v>
      </c>
      <c r="AA57" s="30">
        <f t="shared" si="82"/>
        <v>0</v>
      </c>
      <c r="AB57" s="29">
        <f t="shared" si="82"/>
        <v>0</v>
      </c>
      <c r="AC57" s="30">
        <f t="shared" si="82"/>
        <v>0</v>
      </c>
      <c r="AD57" s="29">
        <f t="shared" si="82"/>
        <v>0</v>
      </c>
      <c r="AE57" s="30">
        <f t="shared" si="82"/>
        <v>0</v>
      </c>
      <c r="AF57" s="29">
        <f t="shared" si="82"/>
        <v>0</v>
      </c>
      <c r="AG57" s="30">
        <f t="shared" si="82"/>
        <v>0</v>
      </c>
      <c r="AH57" s="29">
        <f t="shared" si="82"/>
        <v>0</v>
      </c>
      <c r="AI57" s="30">
        <f t="shared" si="82"/>
        <v>0</v>
      </c>
      <c r="AJ57" s="29">
        <f>+AH57+4</f>
        <v>4</v>
      </c>
      <c r="AK57" s="30">
        <f>+AI57+20+38+26+15</f>
        <v>99</v>
      </c>
      <c r="AL57" s="29">
        <f t="shared" si="15"/>
        <v>4</v>
      </c>
      <c r="AM57" s="30">
        <f t="shared" si="81"/>
        <v>99</v>
      </c>
      <c r="AN57" s="99">
        <f t="shared" si="9"/>
        <v>4</v>
      </c>
      <c r="AO57" s="100">
        <f t="shared" si="10"/>
        <v>99</v>
      </c>
    </row>
    <row r="58" spans="1:41" x14ac:dyDescent="0.25">
      <c r="A58" s="67"/>
      <c r="B58" s="1" t="s">
        <v>36</v>
      </c>
      <c r="C58" s="1">
        <v>10</v>
      </c>
      <c r="D58" s="13">
        <f t="shared" si="61"/>
        <v>4.9261083743842365E-3</v>
      </c>
      <c r="E58" s="1">
        <f>52+33+40+15+21+44+26+18+15+12</f>
        <v>276</v>
      </c>
      <c r="F58" s="13">
        <f t="shared" si="75"/>
        <v>2.8538340640251467E-3</v>
      </c>
      <c r="G58" s="16">
        <f t="shared" si="5"/>
        <v>27.6</v>
      </c>
      <c r="H58" s="2">
        <v>10</v>
      </c>
      <c r="I58" s="9"/>
      <c r="J58" s="1"/>
      <c r="K58" s="1"/>
      <c r="L58" s="1"/>
      <c r="M58" s="1"/>
      <c r="N58" s="29">
        <v>4</v>
      </c>
      <c r="O58" s="30">
        <f>52+33+59+40</f>
        <v>184</v>
      </c>
      <c r="P58" s="29">
        <v>4</v>
      </c>
      <c r="Q58" s="30">
        <f t="shared" ref="Q58:Q64" si="83">+O58+0</f>
        <v>184</v>
      </c>
      <c r="R58" s="29">
        <v>4</v>
      </c>
      <c r="S58" s="30">
        <f t="shared" ref="S58:S64" si="84">+Q58+0</f>
        <v>184</v>
      </c>
      <c r="T58" s="29">
        <v>5</v>
      </c>
      <c r="U58" s="30">
        <f>+S58+15</f>
        <v>199</v>
      </c>
      <c r="V58" s="29">
        <v>6</v>
      </c>
      <c r="W58" s="30">
        <f>+U58+21</f>
        <v>220</v>
      </c>
      <c r="X58" s="29">
        <v>8</v>
      </c>
      <c r="Y58" s="30">
        <f>+W58+44+26</f>
        <v>290</v>
      </c>
      <c r="Z58" s="29">
        <v>8</v>
      </c>
      <c r="AA58" s="30">
        <f>+Y58+0</f>
        <v>290</v>
      </c>
      <c r="AB58" s="29">
        <v>10</v>
      </c>
      <c r="AC58" s="30">
        <f>+AA58+18+15</f>
        <v>323</v>
      </c>
      <c r="AD58" s="29">
        <v>10</v>
      </c>
      <c r="AE58" s="30">
        <f>+AC58+0</f>
        <v>323</v>
      </c>
      <c r="AF58" s="29">
        <v>10</v>
      </c>
      <c r="AG58" s="30">
        <f>+AE58+0</f>
        <v>323</v>
      </c>
      <c r="AH58" s="29">
        <v>10</v>
      </c>
      <c r="AI58" s="30">
        <f t="shared" ref="AI58:AK61" si="85">+AG58+0</f>
        <v>323</v>
      </c>
      <c r="AJ58" s="29">
        <f t="shared" si="85"/>
        <v>10</v>
      </c>
      <c r="AK58" s="30">
        <f t="shared" si="85"/>
        <v>323</v>
      </c>
      <c r="AL58" s="29">
        <f>+AJ58+1-1</f>
        <v>10</v>
      </c>
      <c r="AM58" s="30">
        <f>+AK58+12-59</f>
        <v>276</v>
      </c>
      <c r="AN58" s="99">
        <f t="shared" si="9"/>
        <v>10</v>
      </c>
      <c r="AO58" s="100">
        <f t="shared" si="10"/>
        <v>276</v>
      </c>
    </row>
    <row r="59" spans="1:41" x14ac:dyDescent="0.25">
      <c r="A59" s="67"/>
      <c r="B59" s="1" t="s">
        <v>37</v>
      </c>
      <c r="C59" s="1">
        <v>3</v>
      </c>
      <c r="D59" s="13">
        <f t="shared" si="61"/>
        <v>1.477832512315271E-3</v>
      </c>
      <c r="E59" s="1">
        <f>13+7+94+64</f>
        <v>178</v>
      </c>
      <c r="F59" s="13">
        <f t="shared" si="75"/>
        <v>1.8405161717263629E-3</v>
      </c>
      <c r="G59" s="16">
        <f t="shared" si="5"/>
        <v>59.333333333333336</v>
      </c>
      <c r="H59" s="2">
        <v>2</v>
      </c>
      <c r="I59" s="9"/>
      <c r="J59" s="1">
        <v>1</v>
      </c>
      <c r="K59" s="1"/>
      <c r="L59" s="1"/>
      <c r="M59" s="1"/>
      <c r="N59" s="29">
        <v>1</v>
      </c>
      <c r="O59" s="30">
        <v>36</v>
      </c>
      <c r="P59" s="29">
        <f t="shared" ref="P59:P64" si="86">+N59+0</f>
        <v>1</v>
      </c>
      <c r="Q59" s="30">
        <f t="shared" si="83"/>
        <v>36</v>
      </c>
      <c r="R59" s="29">
        <f t="shared" ref="R59:R64" si="87">+P59+0</f>
        <v>1</v>
      </c>
      <c r="S59" s="30">
        <f t="shared" si="84"/>
        <v>36</v>
      </c>
      <c r="T59" s="29">
        <f t="shared" ref="T59:W60" si="88">+R59+0</f>
        <v>1</v>
      </c>
      <c r="U59" s="30">
        <f t="shared" si="88"/>
        <v>36</v>
      </c>
      <c r="V59" s="29">
        <f t="shared" si="88"/>
        <v>1</v>
      </c>
      <c r="W59" s="30">
        <f t="shared" si="88"/>
        <v>36</v>
      </c>
      <c r="X59" s="29">
        <f>+V59+1</f>
        <v>2</v>
      </c>
      <c r="Y59" s="30">
        <f>+W59+13+7</f>
        <v>56</v>
      </c>
      <c r="Z59" s="29">
        <f>+X59+0</f>
        <v>2</v>
      </c>
      <c r="AA59" s="30">
        <f>+Y59+0</f>
        <v>56</v>
      </c>
      <c r="AB59" s="29">
        <f>+Z59+0</f>
        <v>2</v>
      </c>
      <c r="AC59" s="30">
        <f>+AA59+0</f>
        <v>56</v>
      </c>
      <c r="AD59" s="29">
        <f>+AB59+2-1</f>
        <v>3</v>
      </c>
      <c r="AE59" s="30">
        <f>+AC59+94+64-36</f>
        <v>178</v>
      </c>
      <c r="AF59" s="29">
        <f>+AD59+0</f>
        <v>3</v>
      </c>
      <c r="AG59" s="30">
        <f>+AE59+0</f>
        <v>178</v>
      </c>
      <c r="AH59" s="29">
        <f>+AF59+0</f>
        <v>3</v>
      </c>
      <c r="AI59" s="30">
        <f t="shared" si="85"/>
        <v>178</v>
      </c>
      <c r="AJ59" s="29">
        <f t="shared" si="85"/>
        <v>3</v>
      </c>
      <c r="AK59" s="30">
        <f t="shared" si="85"/>
        <v>178</v>
      </c>
      <c r="AL59" s="29">
        <f>+AJ59+0</f>
        <v>3</v>
      </c>
      <c r="AM59" s="30">
        <f t="shared" si="81"/>
        <v>178</v>
      </c>
      <c r="AN59" s="99">
        <f t="shared" si="9"/>
        <v>3</v>
      </c>
      <c r="AO59" s="100">
        <f t="shared" si="10"/>
        <v>178</v>
      </c>
    </row>
    <row r="60" spans="1:41" x14ac:dyDescent="0.25">
      <c r="A60" s="67"/>
      <c r="B60" s="1" t="s">
        <v>38</v>
      </c>
      <c r="C60" s="1">
        <v>2</v>
      </c>
      <c r="D60" s="13">
        <f t="shared" si="61"/>
        <v>9.8522167487684722E-4</v>
      </c>
      <c r="E60" s="1">
        <v>129</v>
      </c>
      <c r="F60" s="13">
        <f t="shared" si="75"/>
        <v>1.3338572255769709E-3</v>
      </c>
      <c r="G60" s="16">
        <f t="shared" si="5"/>
        <v>64.5</v>
      </c>
      <c r="H60" s="2">
        <v>1</v>
      </c>
      <c r="I60" s="9"/>
      <c r="J60" s="1"/>
      <c r="K60" s="1"/>
      <c r="L60" s="1">
        <v>1</v>
      </c>
      <c r="M60" s="1"/>
      <c r="N60" s="29">
        <v>0</v>
      </c>
      <c r="O60" s="30">
        <v>0</v>
      </c>
      <c r="P60" s="29">
        <f t="shared" si="86"/>
        <v>0</v>
      </c>
      <c r="Q60" s="30">
        <f t="shared" si="83"/>
        <v>0</v>
      </c>
      <c r="R60" s="29">
        <f t="shared" si="87"/>
        <v>0</v>
      </c>
      <c r="S60" s="30">
        <f t="shared" si="84"/>
        <v>0</v>
      </c>
      <c r="T60" s="29">
        <f t="shared" si="88"/>
        <v>0</v>
      </c>
      <c r="U60" s="30">
        <f t="shared" si="88"/>
        <v>0</v>
      </c>
      <c r="V60" s="29">
        <f t="shared" si="88"/>
        <v>0</v>
      </c>
      <c r="W60" s="30">
        <f t="shared" si="88"/>
        <v>0</v>
      </c>
      <c r="X60" s="29">
        <f t="shared" ref="X60:Y64" si="89">+V60+0</f>
        <v>0</v>
      </c>
      <c r="Y60" s="30">
        <f t="shared" si="89"/>
        <v>0</v>
      </c>
      <c r="Z60" s="29">
        <f>+X60+0</f>
        <v>0</v>
      </c>
      <c r="AA60" s="30">
        <f>+Y60+0</f>
        <v>0</v>
      </c>
      <c r="AB60" s="29">
        <f>+Z60+0</f>
        <v>0</v>
      </c>
      <c r="AC60" s="30">
        <f>+AA60+0</f>
        <v>0</v>
      </c>
      <c r="AD60" s="29">
        <f>+AB60+0</f>
        <v>0</v>
      </c>
      <c r="AE60" s="30">
        <f>+AC60+0</f>
        <v>0</v>
      </c>
      <c r="AF60" s="29">
        <f>+AD60+2</f>
        <v>2</v>
      </c>
      <c r="AG60" s="30">
        <f>+AE60+6+25+6+92</f>
        <v>129</v>
      </c>
      <c r="AH60" s="29">
        <f>+AF60+0</f>
        <v>2</v>
      </c>
      <c r="AI60" s="30">
        <f t="shared" si="85"/>
        <v>129</v>
      </c>
      <c r="AJ60" s="29">
        <f t="shared" si="85"/>
        <v>2</v>
      </c>
      <c r="AK60" s="30">
        <f t="shared" si="85"/>
        <v>129</v>
      </c>
      <c r="AL60" s="29">
        <f>+AJ60+0</f>
        <v>2</v>
      </c>
      <c r="AM60" s="30">
        <f t="shared" si="81"/>
        <v>129</v>
      </c>
      <c r="AN60" s="99">
        <f t="shared" si="9"/>
        <v>2</v>
      </c>
      <c r="AO60" s="100">
        <f t="shared" si="10"/>
        <v>129</v>
      </c>
    </row>
    <row r="61" spans="1:41" x14ac:dyDescent="0.25">
      <c r="A61" s="67"/>
      <c r="B61" s="1" t="s">
        <v>39</v>
      </c>
      <c r="C61" s="1">
        <v>13</v>
      </c>
      <c r="D61" s="13">
        <f t="shared" si="61"/>
        <v>6.4039408866995075E-3</v>
      </c>
      <c r="E61" s="1">
        <v>609</v>
      </c>
      <c r="F61" s="13">
        <f t="shared" si="75"/>
        <v>6.2970469021424438E-3</v>
      </c>
      <c r="G61" s="16">
        <f t="shared" si="5"/>
        <v>46.846153846153847</v>
      </c>
      <c r="H61" s="2">
        <v>13</v>
      </c>
      <c r="I61" s="9"/>
      <c r="J61" s="1"/>
      <c r="K61" s="1"/>
      <c r="L61" s="1"/>
      <c r="M61" s="1"/>
      <c r="N61" s="29">
        <v>0</v>
      </c>
      <c r="O61" s="30">
        <v>0</v>
      </c>
      <c r="P61" s="29">
        <f t="shared" si="86"/>
        <v>0</v>
      </c>
      <c r="Q61" s="30">
        <f t="shared" si="83"/>
        <v>0</v>
      </c>
      <c r="R61" s="29">
        <f t="shared" si="87"/>
        <v>0</v>
      </c>
      <c r="S61" s="30">
        <f t="shared" si="84"/>
        <v>0</v>
      </c>
      <c r="T61" s="29">
        <f>+R61+2</f>
        <v>2</v>
      </c>
      <c r="U61" s="30">
        <f>+S61+38+32</f>
        <v>70</v>
      </c>
      <c r="V61" s="29">
        <f>+T61+2</f>
        <v>4</v>
      </c>
      <c r="W61" s="30">
        <f>+U61+66+40</f>
        <v>176</v>
      </c>
      <c r="X61" s="29">
        <f t="shared" si="89"/>
        <v>4</v>
      </c>
      <c r="Y61" s="30">
        <f t="shared" si="89"/>
        <v>176</v>
      </c>
      <c r="Z61" s="29">
        <f>+X61+2</f>
        <v>6</v>
      </c>
      <c r="AA61" s="30">
        <f>+Y61+18+52</f>
        <v>246</v>
      </c>
      <c r="AB61" s="29">
        <f>+Z61+3</f>
        <v>9</v>
      </c>
      <c r="AC61" s="30">
        <f>+AA61+80+41+99</f>
        <v>466</v>
      </c>
      <c r="AD61" s="29">
        <f>+AB61+6-2</f>
        <v>13</v>
      </c>
      <c r="AE61" s="30">
        <f>+AC61+53+38+36+17+25+44-38-32</f>
        <v>609</v>
      </c>
      <c r="AF61" s="29">
        <f>+AD61+0</f>
        <v>13</v>
      </c>
      <c r="AG61" s="30">
        <f>+AE61+0</f>
        <v>609</v>
      </c>
      <c r="AH61" s="29">
        <f>+AF61+0</f>
        <v>13</v>
      </c>
      <c r="AI61" s="30">
        <f t="shared" si="85"/>
        <v>609</v>
      </c>
      <c r="AJ61" s="29">
        <f t="shared" si="85"/>
        <v>13</v>
      </c>
      <c r="AK61" s="30">
        <f t="shared" si="85"/>
        <v>609</v>
      </c>
      <c r="AL61" s="29">
        <f>+AJ61+0</f>
        <v>13</v>
      </c>
      <c r="AM61" s="30">
        <f t="shared" si="81"/>
        <v>609</v>
      </c>
      <c r="AN61" s="99">
        <f t="shared" si="9"/>
        <v>13</v>
      </c>
      <c r="AO61" s="100">
        <f t="shared" si="10"/>
        <v>609</v>
      </c>
    </row>
    <row r="62" spans="1:41" x14ac:dyDescent="0.25">
      <c r="A62" s="67"/>
      <c r="B62" s="1" t="s">
        <v>40</v>
      </c>
      <c r="C62" s="1">
        <v>34</v>
      </c>
      <c r="D62" s="13">
        <f t="shared" si="61"/>
        <v>1.6748768472906402E-2</v>
      </c>
      <c r="E62" s="1">
        <f>23+24+40+51+109+100+85+49+24+20+34+36+33+66+20+4+39+8+73+37+36+43+3+3+3+3+1+1+37+25+35+19+23+36+17+59+22+22+25+14+20+17+31</f>
        <v>1370</v>
      </c>
      <c r="F62" s="13">
        <f t="shared" si="75"/>
        <v>1.4165770535197287E-2</v>
      </c>
      <c r="G62" s="16">
        <f t="shared" si="5"/>
        <v>40.294117647058826</v>
      </c>
      <c r="H62" s="2">
        <v>27</v>
      </c>
      <c r="I62" s="9"/>
      <c r="J62" s="1">
        <v>3</v>
      </c>
      <c r="K62" s="1"/>
      <c r="L62" s="1">
        <v>4</v>
      </c>
      <c r="M62" s="1"/>
      <c r="N62" s="29">
        <v>1</v>
      </c>
      <c r="O62" s="30">
        <f>46</f>
        <v>46</v>
      </c>
      <c r="P62" s="29">
        <f t="shared" si="86"/>
        <v>1</v>
      </c>
      <c r="Q62" s="30">
        <f t="shared" si="83"/>
        <v>46</v>
      </c>
      <c r="R62" s="29">
        <f t="shared" si="87"/>
        <v>1</v>
      </c>
      <c r="S62" s="30">
        <f t="shared" si="84"/>
        <v>46</v>
      </c>
      <c r="T62" s="29">
        <f>+R62+9</f>
        <v>10</v>
      </c>
      <c r="U62" s="30">
        <f>+S62+23+24+40+51+109+100+85+49+24</f>
        <v>551</v>
      </c>
      <c r="V62" s="29">
        <f>+T62+2</f>
        <v>12</v>
      </c>
      <c r="W62" s="30">
        <f>+U62+20+34+25</f>
        <v>630</v>
      </c>
      <c r="X62" s="29">
        <f t="shared" si="89"/>
        <v>12</v>
      </c>
      <c r="Y62" s="30">
        <f t="shared" si="89"/>
        <v>630</v>
      </c>
      <c r="Z62" s="29">
        <f>+X62+6</f>
        <v>18</v>
      </c>
      <c r="AA62" s="30">
        <f>+Y62+36+33+66+20+4+39+8+73+8+8</f>
        <v>925</v>
      </c>
      <c r="AB62" s="29">
        <f>+Z62+6</f>
        <v>24</v>
      </c>
      <c r="AC62" s="30">
        <f>+AA62+37+36+43+3+3+3+3+1+1+37+25</f>
        <v>1117</v>
      </c>
      <c r="AD62" s="29">
        <f>+AB62+5</f>
        <v>29</v>
      </c>
      <c r="AE62" s="30">
        <f>+AC62+35+41+36+19+23</f>
        <v>1271</v>
      </c>
      <c r="AF62" s="29">
        <f>+AD62+5-1</f>
        <v>33</v>
      </c>
      <c r="AG62" s="30">
        <f>+AE62+36+17+59+22+22-8-8</f>
        <v>1411</v>
      </c>
      <c r="AH62" s="29">
        <f>+AF62+4</f>
        <v>37</v>
      </c>
      <c r="AI62" s="30">
        <f>+AG62+25+14+20+17</f>
        <v>1487</v>
      </c>
      <c r="AJ62" s="29">
        <f>+AH62+0</f>
        <v>37</v>
      </c>
      <c r="AK62" s="30">
        <f>+AI62+0</f>
        <v>1487</v>
      </c>
      <c r="AL62" s="29">
        <f>+AJ62+1-3</f>
        <v>35</v>
      </c>
      <c r="AM62" s="30">
        <f>+AK62+31-25-41-36</f>
        <v>1416</v>
      </c>
      <c r="AN62" s="99">
        <f>+AL62+0-1</f>
        <v>34</v>
      </c>
      <c r="AO62" s="100">
        <f>+AM62+0-46</f>
        <v>1370</v>
      </c>
    </row>
    <row r="63" spans="1:41" x14ac:dyDescent="0.25">
      <c r="A63" s="67"/>
      <c r="B63" s="1" t="s">
        <v>41</v>
      </c>
      <c r="C63" s="1">
        <v>10</v>
      </c>
      <c r="D63" s="13">
        <f t="shared" si="61"/>
        <v>4.9261083743842365E-3</v>
      </c>
      <c r="E63" s="1">
        <f>67+47+28+31+14+43+39+32+32+15</f>
        <v>348</v>
      </c>
      <c r="F63" s="13">
        <f t="shared" si="75"/>
        <v>3.5983125155099678E-3</v>
      </c>
      <c r="G63" s="16">
        <f t="shared" si="5"/>
        <v>34.799999999999997</v>
      </c>
      <c r="H63" s="2">
        <v>10</v>
      </c>
      <c r="I63" s="9"/>
      <c r="J63" s="1"/>
      <c r="K63" s="1"/>
      <c r="L63" s="1"/>
      <c r="M63" s="1"/>
      <c r="N63" s="29">
        <v>1</v>
      </c>
      <c r="O63" s="30">
        <v>67</v>
      </c>
      <c r="P63" s="29">
        <f t="shared" si="86"/>
        <v>1</v>
      </c>
      <c r="Q63" s="30">
        <f t="shared" si="83"/>
        <v>67</v>
      </c>
      <c r="R63" s="29">
        <f t="shared" si="87"/>
        <v>1</v>
      </c>
      <c r="S63" s="30">
        <f t="shared" si="84"/>
        <v>67</v>
      </c>
      <c r="T63" s="29">
        <f t="shared" ref="T63:W64" si="90">+R63+0</f>
        <v>1</v>
      </c>
      <c r="U63" s="30">
        <f t="shared" si="90"/>
        <v>67</v>
      </c>
      <c r="V63" s="29">
        <f t="shared" si="90"/>
        <v>1</v>
      </c>
      <c r="W63" s="30">
        <f t="shared" si="90"/>
        <v>67</v>
      </c>
      <c r="X63" s="29">
        <f t="shared" si="89"/>
        <v>1</v>
      </c>
      <c r="Y63" s="30">
        <f t="shared" si="89"/>
        <v>67</v>
      </c>
      <c r="Z63" s="29">
        <f>+X63+0</f>
        <v>1</v>
      </c>
      <c r="AA63" s="30">
        <f>+Y63+0</f>
        <v>67</v>
      </c>
      <c r="AB63" s="29">
        <f>+Z63+2</f>
        <v>3</v>
      </c>
      <c r="AC63" s="30">
        <f>+AA63+47+28</f>
        <v>142</v>
      </c>
      <c r="AD63" s="29">
        <f>+AB63+3</f>
        <v>6</v>
      </c>
      <c r="AE63" s="30">
        <f>+AC63+31+14+43</f>
        <v>230</v>
      </c>
      <c r="AF63" s="29">
        <f>+AD63+1</f>
        <v>7</v>
      </c>
      <c r="AG63" s="30">
        <f>+AE63+39</f>
        <v>269</v>
      </c>
      <c r="AH63" s="29">
        <f>+AF63+0</f>
        <v>7</v>
      </c>
      <c r="AI63" s="30">
        <f>+AG63+0</f>
        <v>269</v>
      </c>
      <c r="AJ63" s="29">
        <f>+AH63+1</f>
        <v>8</v>
      </c>
      <c r="AK63" s="30">
        <f>+AI63+32</f>
        <v>301</v>
      </c>
      <c r="AL63" s="29">
        <f>+AJ63+2</f>
        <v>10</v>
      </c>
      <c r="AM63" s="30">
        <f>+AK63+32+15</f>
        <v>348</v>
      </c>
      <c r="AN63" s="99">
        <f t="shared" si="9"/>
        <v>10</v>
      </c>
      <c r="AO63" s="100">
        <f t="shared" si="10"/>
        <v>348</v>
      </c>
    </row>
    <row r="64" spans="1:41" x14ac:dyDescent="0.25">
      <c r="A64" s="67"/>
      <c r="B64" s="1" t="s">
        <v>42</v>
      </c>
      <c r="C64" s="1">
        <v>1</v>
      </c>
      <c r="D64" s="13">
        <f t="shared" si="61"/>
        <v>4.9261083743842361E-4</v>
      </c>
      <c r="E64" s="1">
        <v>38</v>
      </c>
      <c r="F64" s="13">
        <f t="shared" si="75"/>
        <v>3.9291918272809994E-4</v>
      </c>
      <c r="G64" s="16">
        <f t="shared" si="5"/>
        <v>38</v>
      </c>
      <c r="H64" s="2">
        <v>1</v>
      </c>
      <c r="I64" s="9"/>
      <c r="J64" s="1"/>
      <c r="K64" s="1"/>
      <c r="L64" s="1"/>
      <c r="M64" s="1"/>
      <c r="N64" s="29">
        <v>0</v>
      </c>
      <c r="O64" s="30">
        <v>0</v>
      </c>
      <c r="P64" s="29">
        <f t="shared" si="86"/>
        <v>0</v>
      </c>
      <c r="Q64" s="30">
        <f t="shared" si="83"/>
        <v>0</v>
      </c>
      <c r="R64" s="29">
        <f t="shared" si="87"/>
        <v>0</v>
      </c>
      <c r="S64" s="30">
        <f t="shared" si="84"/>
        <v>0</v>
      </c>
      <c r="T64" s="29">
        <f t="shared" si="90"/>
        <v>0</v>
      </c>
      <c r="U64" s="30">
        <f t="shared" si="90"/>
        <v>0</v>
      </c>
      <c r="V64" s="29">
        <f t="shared" si="90"/>
        <v>0</v>
      </c>
      <c r="W64" s="30">
        <f t="shared" si="90"/>
        <v>0</v>
      </c>
      <c r="X64" s="29">
        <f t="shared" si="89"/>
        <v>0</v>
      </c>
      <c r="Y64" s="30">
        <f t="shared" si="89"/>
        <v>0</v>
      </c>
      <c r="Z64" s="29">
        <f>+X64+1</f>
        <v>1</v>
      </c>
      <c r="AA64" s="30">
        <f>+Y64+38</f>
        <v>38</v>
      </c>
      <c r="AB64" s="29">
        <f t="shared" ref="AB64:AG64" si="91">+Z64+0</f>
        <v>1</v>
      </c>
      <c r="AC64" s="30">
        <f t="shared" si="91"/>
        <v>38</v>
      </c>
      <c r="AD64" s="29">
        <f t="shared" si="91"/>
        <v>1</v>
      </c>
      <c r="AE64" s="30">
        <f t="shared" si="91"/>
        <v>38</v>
      </c>
      <c r="AF64" s="29">
        <f t="shared" si="91"/>
        <v>1</v>
      </c>
      <c r="AG64" s="30">
        <f t="shared" si="91"/>
        <v>38</v>
      </c>
      <c r="AH64" s="29">
        <f>+AF64+0</f>
        <v>1</v>
      </c>
      <c r="AI64" s="30">
        <f>+AG64+0</f>
        <v>38</v>
      </c>
      <c r="AJ64" s="29">
        <f>+AH64+0</f>
        <v>1</v>
      </c>
      <c r="AK64" s="30">
        <f>+AI64+0</f>
        <v>38</v>
      </c>
      <c r="AL64" s="29">
        <f t="shared" si="15"/>
        <v>1</v>
      </c>
      <c r="AM64" s="30">
        <f t="shared" si="81"/>
        <v>38</v>
      </c>
      <c r="AN64" s="99">
        <f t="shared" si="9"/>
        <v>1</v>
      </c>
      <c r="AO64" s="100">
        <f t="shared" si="10"/>
        <v>38</v>
      </c>
    </row>
    <row r="65" spans="1:41" x14ac:dyDescent="0.25">
      <c r="A65" s="67"/>
      <c r="B65" s="3" t="s">
        <v>43</v>
      </c>
      <c r="C65" s="57">
        <v>93</v>
      </c>
      <c r="D65" s="13">
        <f t="shared" si="61"/>
        <v>4.5812807881773401E-2</v>
      </c>
      <c r="E65" s="57">
        <f>30+29+40+61+27+24+32+35+35+14+9+9+60+12+19+12+24+81+61+22+22+31+38+35+75+20+80+26+18+18+58+11+21+92+41+41+77+100+16+18+18+86+99+27+32+56+4+28+48+48+47+27+31+45+31+112+23+18+54+35+35+68+28+27+56+66+16+28+41+100+18+22+30+30+80+47+22+74+69+51+35+51+51+31+49+42+26+18+18+24+18+4+21+7+51+26+6+3+3+5+5+43+57+124+64+43+26+20+27+47+30+24+29+170+12+14+23</f>
        <v>4498</v>
      </c>
      <c r="F65" s="13">
        <f t="shared" si="75"/>
        <v>4.6509223260815614E-2</v>
      </c>
      <c r="G65" s="16">
        <f t="shared" si="5"/>
        <v>48.365591397849464</v>
      </c>
      <c r="H65" s="2">
        <v>74</v>
      </c>
      <c r="I65" s="9"/>
      <c r="J65" s="1">
        <v>15</v>
      </c>
      <c r="K65" s="1"/>
      <c r="L65" s="35">
        <v>4</v>
      </c>
      <c r="M65" s="35"/>
      <c r="N65" s="29">
        <v>4</v>
      </c>
      <c r="O65" s="30">
        <f>22+37+30+29+40+61+27+24</f>
        <v>270</v>
      </c>
      <c r="P65" s="29">
        <f>+N65+6</f>
        <v>10</v>
      </c>
      <c r="Q65" s="30">
        <f>+O65+32+35+35+14+9+9+60</f>
        <v>464</v>
      </c>
      <c r="R65" s="29">
        <f>+P65+1</f>
        <v>11</v>
      </c>
      <c r="S65" s="30">
        <f>+Q65+12+19+12</f>
        <v>507</v>
      </c>
      <c r="T65" s="29">
        <f>+R65+5</f>
        <v>16</v>
      </c>
      <c r="U65" s="30">
        <f>+S65+17+18+24+81+61+22+22</f>
        <v>752</v>
      </c>
      <c r="V65" s="29">
        <f>+T65+8</f>
        <v>24</v>
      </c>
      <c r="W65" s="30">
        <f>+U65+31+38+35+75+20+80+26+18+18</f>
        <v>1093</v>
      </c>
      <c r="X65" s="29">
        <f>+V65+3</f>
        <v>27</v>
      </c>
      <c r="Y65" s="30">
        <f>+W65+58+11+21+92</f>
        <v>1275</v>
      </c>
      <c r="Z65" s="29">
        <f>+X65+12-1</f>
        <v>38</v>
      </c>
      <c r="AA65" s="30">
        <f>+Y65+41+41+77+100+16+18+18+86+99+27+32+56+4+62+15-17-18</f>
        <v>1932</v>
      </c>
      <c r="AB65" s="29">
        <f>+Z65+26</f>
        <v>64</v>
      </c>
      <c r="AC65" s="30">
        <f>+AA65+28+48+48+47+27+31+45+31+112+23+18+54+35+35+68+28+27+33+66+16+28+41+100+18+22+47+36+37+29</f>
        <v>3110</v>
      </c>
      <c r="AD65" s="29">
        <f>+AB65+8-1</f>
        <v>71</v>
      </c>
      <c r="AE65" s="30">
        <f>+AC65+30+30+80+47+22+74+69+51+35-22-37</f>
        <v>3489</v>
      </c>
      <c r="AF65" s="29">
        <f>+AD65+13</f>
        <v>84</v>
      </c>
      <c r="AG65" s="30">
        <f>+AE65+51+51+31+49+42+26+18+18+24+18+4+21+7+51+26+6+3+3+5+5</f>
        <v>3948</v>
      </c>
      <c r="AH65" s="29">
        <f>+AF65+4</f>
        <v>88</v>
      </c>
      <c r="AI65" s="30">
        <f>+AG65+43+57+124+64+23</f>
        <v>4259</v>
      </c>
      <c r="AJ65" s="29">
        <f>+AH65+3-5</f>
        <v>86</v>
      </c>
      <c r="AK65" s="30">
        <f>+AI65+43+26+20+27-62-15-47-36-37-29</f>
        <v>4149</v>
      </c>
      <c r="AL65" s="29">
        <f>+AJ65+1</f>
        <v>87</v>
      </c>
      <c r="AM65" s="30">
        <f>+AK65+47</f>
        <v>4196</v>
      </c>
      <c r="AN65" s="95">
        <f>+AL65+6</f>
        <v>93</v>
      </c>
      <c r="AO65" s="96">
        <f>+AM65+30+24+29+170+12+14+23</f>
        <v>4498</v>
      </c>
    </row>
    <row r="66" spans="1:41" x14ac:dyDescent="0.25">
      <c r="A66" s="67"/>
      <c r="B66" s="1" t="s">
        <v>44</v>
      </c>
      <c r="C66" s="1">
        <v>37</v>
      </c>
      <c r="D66" s="13">
        <f t="shared" si="61"/>
        <v>1.8226600985221674E-2</v>
      </c>
      <c r="E66" s="1">
        <f>1608+27+120+64</f>
        <v>1819</v>
      </c>
      <c r="F66" s="13">
        <f t="shared" si="75"/>
        <v>1.8808420878484573E-2</v>
      </c>
      <c r="G66" s="16">
        <f t="shared" si="5"/>
        <v>49.162162162162161</v>
      </c>
      <c r="H66" s="2">
        <v>37</v>
      </c>
      <c r="I66" s="9"/>
      <c r="J66" s="1"/>
      <c r="K66" s="1"/>
      <c r="L66" s="1"/>
      <c r="M66" s="1"/>
      <c r="N66" s="29">
        <v>1</v>
      </c>
      <c r="O66" s="30">
        <f>54</f>
        <v>54</v>
      </c>
      <c r="P66" s="29">
        <f t="shared" ref="P66:Q69" si="92">+N66+0</f>
        <v>1</v>
      </c>
      <c r="Q66" s="30">
        <f t="shared" si="92"/>
        <v>54</v>
      </c>
      <c r="R66" s="29">
        <f>+P66+1</f>
        <v>2</v>
      </c>
      <c r="S66" s="30">
        <f>+Q66+62</f>
        <v>116</v>
      </c>
      <c r="T66" s="29">
        <f>+R66+3</f>
        <v>5</v>
      </c>
      <c r="U66" s="30">
        <f>+S66+19+18+26</f>
        <v>179</v>
      </c>
      <c r="V66" s="29">
        <f>+T66+0</f>
        <v>5</v>
      </c>
      <c r="W66" s="30">
        <f>+U66+0</f>
        <v>179</v>
      </c>
      <c r="X66" s="29">
        <f>+V66+5</f>
        <v>10</v>
      </c>
      <c r="Y66" s="30">
        <f>+W66+82+50+36+22+37</f>
        <v>406</v>
      </c>
      <c r="Z66" s="29">
        <f>+X66+8</f>
        <v>18</v>
      </c>
      <c r="AA66" s="30">
        <f>+Y66+58+41+104+27+28+27+47+8+69+60</f>
        <v>875</v>
      </c>
      <c r="AB66" s="29">
        <f>+Z66+3</f>
        <v>21</v>
      </c>
      <c r="AC66" s="30">
        <f>+AA66+24+16+82</f>
        <v>997</v>
      </c>
      <c r="AD66" s="29">
        <f>+AB66+14</f>
        <v>35</v>
      </c>
      <c r="AE66" s="30">
        <f>+AC66+32+15+60+31+58+38+50+24+18+92+60+74+31</f>
        <v>1580</v>
      </c>
      <c r="AF66" s="29">
        <f>+AD66+0-1</f>
        <v>34</v>
      </c>
      <c r="AG66" s="30">
        <f>+AE66+59-31</f>
        <v>1608</v>
      </c>
      <c r="AH66" s="29">
        <f>+AF66+1</f>
        <v>35</v>
      </c>
      <c r="AI66" s="30">
        <f>+AG66+27</f>
        <v>1635</v>
      </c>
      <c r="AJ66" s="29">
        <f>+AH66+1</f>
        <v>36</v>
      </c>
      <c r="AK66" s="30">
        <f>+AI66+120</f>
        <v>1755</v>
      </c>
      <c r="AL66" s="29">
        <f>+AJ66+1</f>
        <v>37</v>
      </c>
      <c r="AM66" s="30">
        <f>+AK66+64</f>
        <v>1819</v>
      </c>
      <c r="AN66" s="99">
        <f t="shared" si="9"/>
        <v>37</v>
      </c>
      <c r="AO66" s="100">
        <f t="shared" si="10"/>
        <v>1819</v>
      </c>
    </row>
    <row r="67" spans="1:41" x14ac:dyDescent="0.25">
      <c r="A67" s="67"/>
      <c r="B67" s="1" t="s">
        <v>45</v>
      </c>
      <c r="C67" s="1">
        <v>14</v>
      </c>
      <c r="D67" s="13">
        <f t="shared" si="61"/>
        <v>6.8965517241379309E-3</v>
      </c>
      <c r="E67" s="1">
        <f>45+15+15+9+21+11+52+16+8+65+25+7+58+65+32+60+35+14</f>
        <v>553</v>
      </c>
      <c r="F67" s="13">
        <f t="shared" si="75"/>
        <v>5.7180081065431381E-3</v>
      </c>
      <c r="G67" s="16">
        <f t="shared" si="5"/>
        <v>39.5</v>
      </c>
      <c r="H67" s="2">
        <v>10</v>
      </c>
      <c r="I67" s="9"/>
      <c r="J67" s="1">
        <v>4</v>
      </c>
      <c r="K67" s="1"/>
      <c r="L67" s="1"/>
      <c r="M67" s="1"/>
      <c r="N67" s="29">
        <v>6</v>
      </c>
      <c r="O67" s="30">
        <f>80+15+15+9+25+54+16+68+25+26</f>
        <v>333</v>
      </c>
      <c r="P67" s="29">
        <f t="shared" si="92"/>
        <v>6</v>
      </c>
      <c r="Q67" s="30">
        <f t="shared" si="92"/>
        <v>333</v>
      </c>
      <c r="R67" s="29">
        <f t="shared" ref="R67:S69" si="93">+P67+0</f>
        <v>6</v>
      </c>
      <c r="S67" s="30">
        <f t="shared" si="93"/>
        <v>333</v>
      </c>
      <c r="T67" s="29">
        <f>+R67+1</f>
        <v>7</v>
      </c>
      <c r="U67" s="30">
        <f>+S67+21+11</f>
        <v>365</v>
      </c>
      <c r="V67" s="29">
        <f>+T67+0</f>
        <v>7</v>
      </c>
      <c r="W67" s="30">
        <f>+U67+0</f>
        <v>365</v>
      </c>
      <c r="X67" s="29">
        <f>+V67+0</f>
        <v>7</v>
      </c>
      <c r="Y67" s="30">
        <f>+W67+0</f>
        <v>365</v>
      </c>
      <c r="Z67" s="29">
        <f>+X67+3</f>
        <v>10</v>
      </c>
      <c r="AA67" s="30">
        <f>+Y67+52+16+8+65</f>
        <v>506</v>
      </c>
      <c r="AB67" s="29">
        <f>+Z67+2-1</f>
        <v>11</v>
      </c>
      <c r="AC67" s="30">
        <f>+AA67+25+7+58-54-16</f>
        <v>526</v>
      </c>
      <c r="AD67" s="29">
        <f>+AB67+5</f>
        <v>16</v>
      </c>
      <c r="AE67" s="30">
        <f>+AC67+65+32+60+35+14</f>
        <v>732</v>
      </c>
      <c r="AF67" s="29">
        <f>+AD67+0-2</f>
        <v>14</v>
      </c>
      <c r="AG67" s="30">
        <f>+AE67+0-68-26</f>
        <v>638</v>
      </c>
      <c r="AH67" s="29">
        <f>+AF67+0</f>
        <v>14</v>
      </c>
      <c r="AI67" s="30">
        <f>+AG67+0-35</f>
        <v>603</v>
      </c>
      <c r="AJ67" s="29">
        <f>+AH67+0</f>
        <v>14</v>
      </c>
      <c r="AK67" s="30">
        <f>+AI67+0-25</f>
        <v>578</v>
      </c>
      <c r="AL67" s="29">
        <f>+AJ67+0</f>
        <v>14</v>
      </c>
      <c r="AM67" s="30">
        <f>+AK67+0-25</f>
        <v>553</v>
      </c>
      <c r="AN67" s="99">
        <f t="shared" si="9"/>
        <v>14</v>
      </c>
      <c r="AO67" s="100">
        <f t="shared" si="10"/>
        <v>553</v>
      </c>
    </row>
    <row r="68" spans="1:41" x14ac:dyDescent="0.25">
      <c r="A68" s="67"/>
      <c r="B68" s="1" t="s">
        <v>46</v>
      </c>
      <c r="C68" s="35">
        <v>69</v>
      </c>
      <c r="D68" s="13">
        <f t="shared" si="61"/>
        <v>3.3990147783251233E-2</v>
      </c>
      <c r="E68" s="35">
        <f>29+29+70+64+27+22+22+13+19+11+11+17+29+43+50+57+66+56+45+28+24+36+55+32+25+39+10+50+40+44+59+80+92+47+42+64+43+37+66+33+34+37+39+68+82+73+44+55+60+29+29+27+35+28+16+45+16+48+63+51+28+44+52+7+26+59+86+27+15+45+32+51+31+39</f>
        <v>3047</v>
      </c>
      <c r="F68" s="13">
        <f t="shared" si="75"/>
        <v>3.1505914467697904E-2</v>
      </c>
      <c r="G68" s="16">
        <f t="shared" si="5"/>
        <v>44.159420289855071</v>
      </c>
      <c r="H68" s="34">
        <v>56</v>
      </c>
      <c r="I68" s="33"/>
      <c r="J68" s="35">
        <v>7</v>
      </c>
      <c r="K68" s="35"/>
      <c r="L68" s="1">
        <f>6</f>
        <v>6</v>
      </c>
      <c r="M68" s="1"/>
      <c r="N68" s="29">
        <v>4</v>
      </c>
      <c r="O68" s="30">
        <f>29+29+70+64+58+50</f>
        <v>300</v>
      </c>
      <c r="P68" s="29">
        <f t="shared" si="92"/>
        <v>4</v>
      </c>
      <c r="Q68" s="30">
        <f t="shared" si="92"/>
        <v>300</v>
      </c>
      <c r="R68" s="29">
        <f t="shared" si="93"/>
        <v>4</v>
      </c>
      <c r="S68" s="30">
        <f t="shared" si="93"/>
        <v>300</v>
      </c>
      <c r="T68" s="29">
        <f>+R68+8</f>
        <v>12</v>
      </c>
      <c r="U68" s="30">
        <f>+S68+27+27+22+22+13+19+11+11+17+29</f>
        <v>498</v>
      </c>
      <c r="V68" s="29">
        <f>+T68+7</f>
        <v>19</v>
      </c>
      <c r="W68" s="30">
        <f>+U68+43+50+57+66+56+77+45</f>
        <v>892</v>
      </c>
      <c r="X68" s="29">
        <f>+V68+1</f>
        <v>20</v>
      </c>
      <c r="Y68" s="30">
        <f>+W68+28</f>
        <v>920</v>
      </c>
      <c r="Z68" s="29">
        <f>+X68+10</f>
        <v>30</v>
      </c>
      <c r="AA68" s="30">
        <f>+Y68+24+36+55+32+25+39+10+50+40+44+59</f>
        <v>1334</v>
      </c>
      <c r="AB68" s="29">
        <f>+Z68+10-1</f>
        <v>39</v>
      </c>
      <c r="AC68" s="30">
        <f>+AA68+80+92+47+42+64+43+37+82+66+33-77</f>
        <v>1843</v>
      </c>
      <c r="AD68" s="29">
        <f>+AB68+13</f>
        <v>52</v>
      </c>
      <c r="AE68" s="30">
        <f>+AC68+34+37+44+85+34+39+68+82+73+44+55+60+29+29</f>
        <v>2556</v>
      </c>
      <c r="AF68" s="29">
        <f>+AD68+6</f>
        <v>58</v>
      </c>
      <c r="AG68" s="30">
        <f>+AE68+27+35+28+16+45+22+17+15+15</f>
        <v>2776</v>
      </c>
      <c r="AH68" s="29">
        <f>+AF68+2-1</f>
        <v>59</v>
      </c>
      <c r="AI68" s="30">
        <f>+AG68+16+48-58-50-22</f>
        <v>2710</v>
      </c>
      <c r="AJ68" s="29">
        <f>+AH68+7-4</f>
        <v>62</v>
      </c>
      <c r="AK68" s="30">
        <f>+AI68+63+51+28+44+52+7+26-82-44-34-85</f>
        <v>2736</v>
      </c>
      <c r="AL68" s="31">
        <f>+AJ68+2-1</f>
        <v>63</v>
      </c>
      <c r="AM68" s="32">
        <f>+AK68+59+86-27-17-15-15</f>
        <v>2807</v>
      </c>
      <c r="AN68" s="95">
        <f>+AL68+6</f>
        <v>69</v>
      </c>
      <c r="AO68" s="96">
        <f>+AM68+27+15+45+32+51+31+39</f>
        <v>3047</v>
      </c>
    </row>
    <row r="69" spans="1:41" x14ac:dyDescent="0.25">
      <c r="A69" s="67"/>
      <c r="B69" s="1" t="s">
        <v>47</v>
      </c>
      <c r="C69" s="1">
        <v>11</v>
      </c>
      <c r="D69" s="13">
        <f t="shared" si="61"/>
        <v>5.4187192118226599E-3</v>
      </c>
      <c r="E69" s="1">
        <f>45+16+28+27+84+49+15+56+27+11+7</f>
        <v>365</v>
      </c>
      <c r="F69" s="13">
        <f t="shared" si="75"/>
        <v>3.774092149888328E-3</v>
      </c>
      <c r="G69" s="16">
        <f t="shared" si="5"/>
        <v>33.18181818181818</v>
      </c>
      <c r="H69" s="2">
        <v>11</v>
      </c>
      <c r="I69" s="9"/>
      <c r="J69" s="1"/>
      <c r="K69" s="1"/>
      <c r="L69" s="1"/>
      <c r="M69" s="1"/>
      <c r="N69" s="29">
        <v>0</v>
      </c>
      <c r="O69" s="30">
        <v>0</v>
      </c>
      <c r="P69" s="29">
        <f t="shared" si="92"/>
        <v>0</v>
      </c>
      <c r="Q69" s="30">
        <f t="shared" si="92"/>
        <v>0</v>
      </c>
      <c r="R69" s="29">
        <f t="shared" si="93"/>
        <v>0</v>
      </c>
      <c r="S69" s="30">
        <f t="shared" si="93"/>
        <v>0</v>
      </c>
      <c r="T69" s="29">
        <f>+R69+0</f>
        <v>0</v>
      </c>
      <c r="U69" s="30">
        <f>+S69+0</f>
        <v>0</v>
      </c>
      <c r="V69" s="29">
        <f>+T69+0</f>
        <v>0</v>
      </c>
      <c r="W69" s="30">
        <f>+U69+0</f>
        <v>0</v>
      </c>
      <c r="X69" s="29">
        <f>+V69+1</f>
        <v>1</v>
      </c>
      <c r="Y69" s="30">
        <f>+W69+45</f>
        <v>45</v>
      </c>
      <c r="Z69" s="29">
        <f>+X69+0</f>
        <v>1</v>
      </c>
      <c r="AA69" s="30">
        <f>+Y69+0</f>
        <v>45</v>
      </c>
      <c r="AB69" s="29">
        <f>+Z69+0</f>
        <v>1</v>
      </c>
      <c r="AC69" s="30">
        <f>+AA69+0</f>
        <v>45</v>
      </c>
      <c r="AD69" s="29">
        <f>+AB69+7</f>
        <v>8</v>
      </c>
      <c r="AE69" s="30">
        <f>+AC69+16+28+5+5+5+5+27+9+5+5+84+49</f>
        <v>288</v>
      </c>
      <c r="AF69" s="29">
        <f>+AD69+1</f>
        <v>9</v>
      </c>
      <c r="AG69" s="30">
        <f>+AE69+15</f>
        <v>303</v>
      </c>
      <c r="AH69" s="29">
        <f>+AF69+2</f>
        <v>11</v>
      </c>
      <c r="AI69" s="30">
        <f>+AG69+28+27</f>
        <v>358</v>
      </c>
      <c r="AJ69" s="29">
        <f>+AH69+1-2</f>
        <v>10</v>
      </c>
      <c r="AK69" s="30">
        <f>+AI69+11-5-5-5-5-9-5-5</f>
        <v>330</v>
      </c>
      <c r="AL69" s="29">
        <f>+AJ69+1</f>
        <v>11</v>
      </c>
      <c r="AM69" s="30">
        <f>+AK69+28+7</f>
        <v>365</v>
      </c>
      <c r="AN69" s="99">
        <f t="shared" si="9"/>
        <v>11</v>
      </c>
      <c r="AO69" s="100">
        <f t="shared" si="10"/>
        <v>365</v>
      </c>
    </row>
    <row r="70" spans="1:41" x14ac:dyDescent="0.25">
      <c r="A70" s="67"/>
      <c r="B70" s="1" t="s">
        <v>48</v>
      </c>
      <c r="C70" s="1">
        <v>1</v>
      </c>
      <c r="D70" s="13">
        <f t="shared" si="61"/>
        <v>4.9261083743842361E-4</v>
      </c>
      <c r="E70" s="1">
        <v>43</v>
      </c>
      <c r="F70" s="13">
        <f t="shared" si="75"/>
        <v>4.4461907519232361E-4</v>
      </c>
      <c r="G70" s="16">
        <f t="shared" si="5"/>
        <v>43</v>
      </c>
      <c r="H70" s="2">
        <v>1</v>
      </c>
      <c r="I70" s="9"/>
      <c r="J70" s="1"/>
      <c r="K70" s="1"/>
      <c r="L70" s="1"/>
      <c r="M70" s="1"/>
      <c r="N70" s="29">
        <v>0</v>
      </c>
      <c r="O70" s="30">
        <v>0</v>
      </c>
      <c r="P70" s="29">
        <v>0</v>
      </c>
      <c r="Q70" s="30">
        <f>+O70+0</f>
        <v>0</v>
      </c>
      <c r="R70" s="29">
        <v>0</v>
      </c>
      <c r="S70" s="30">
        <f t="shared" ref="S70:S78" si="94">+Q70+0</f>
        <v>0</v>
      </c>
      <c r="T70" s="29">
        <v>0</v>
      </c>
      <c r="U70" s="30">
        <f>+S70+0</f>
        <v>0</v>
      </c>
      <c r="V70" s="29">
        <v>0</v>
      </c>
      <c r="W70" s="30">
        <f>+U70+0</f>
        <v>0</v>
      </c>
      <c r="X70" s="29">
        <v>0</v>
      </c>
      <c r="Y70" s="30">
        <f>+W70+0</f>
        <v>0</v>
      </c>
      <c r="Z70" s="29">
        <v>1</v>
      </c>
      <c r="AA70" s="30">
        <f>+Y70+43</f>
        <v>43</v>
      </c>
      <c r="AB70" s="29">
        <v>1</v>
      </c>
      <c r="AC70" s="30">
        <f>+AA70+0</f>
        <v>43</v>
      </c>
      <c r="AD70" s="29">
        <v>1</v>
      </c>
      <c r="AE70" s="30">
        <f>+AC70+0</f>
        <v>43</v>
      </c>
      <c r="AF70" s="29">
        <v>1</v>
      </c>
      <c r="AG70" s="30">
        <f>+AE70+0</f>
        <v>43</v>
      </c>
      <c r="AH70" s="29">
        <v>1</v>
      </c>
      <c r="AI70" s="30">
        <f>+AG70+0</f>
        <v>43</v>
      </c>
      <c r="AJ70" s="29">
        <f>+AH70+0</f>
        <v>1</v>
      </c>
      <c r="AK70" s="30">
        <f t="shared" ref="AK70:AK76" si="95">+AI70+0</f>
        <v>43</v>
      </c>
      <c r="AL70" s="29">
        <f>+AJ70+0</f>
        <v>1</v>
      </c>
      <c r="AM70" s="30">
        <f t="shared" si="81"/>
        <v>43</v>
      </c>
      <c r="AN70" s="99">
        <f t="shared" si="9"/>
        <v>1</v>
      </c>
      <c r="AO70" s="100">
        <f t="shared" si="10"/>
        <v>43</v>
      </c>
    </row>
    <row r="71" spans="1:41" x14ac:dyDescent="0.25">
      <c r="A71" s="67"/>
      <c r="B71" s="1" t="s">
        <v>49</v>
      </c>
      <c r="C71" s="1">
        <v>3</v>
      </c>
      <c r="D71" s="13">
        <f t="shared" si="61"/>
        <v>1.477832512315271E-3</v>
      </c>
      <c r="E71" s="1">
        <v>153</v>
      </c>
      <c r="F71" s="13">
        <f t="shared" si="75"/>
        <v>1.5820167094052445E-3</v>
      </c>
      <c r="G71" s="16">
        <f t="shared" si="5"/>
        <v>51</v>
      </c>
      <c r="H71" s="2">
        <v>2</v>
      </c>
      <c r="I71" s="9"/>
      <c r="J71" s="1">
        <v>1</v>
      </c>
      <c r="K71" s="1"/>
      <c r="L71" s="1"/>
      <c r="M71" s="1"/>
      <c r="N71" s="29">
        <v>0</v>
      </c>
      <c r="O71" s="30">
        <v>0</v>
      </c>
      <c r="P71" s="29">
        <v>0</v>
      </c>
      <c r="Q71" s="30">
        <f>+O71+0</f>
        <v>0</v>
      </c>
      <c r="R71" s="29">
        <v>0</v>
      </c>
      <c r="S71" s="30">
        <f t="shared" si="94"/>
        <v>0</v>
      </c>
      <c r="T71" s="29">
        <v>0</v>
      </c>
      <c r="U71" s="30">
        <f>+S71+0</f>
        <v>0</v>
      </c>
      <c r="V71" s="29">
        <v>1</v>
      </c>
      <c r="W71" s="30">
        <f>+U71+36+25</f>
        <v>61</v>
      </c>
      <c r="X71" s="29">
        <v>1</v>
      </c>
      <c r="Y71" s="30">
        <f>+W71+0</f>
        <v>61</v>
      </c>
      <c r="Z71" s="29">
        <v>2</v>
      </c>
      <c r="AA71" s="30">
        <f>+Y71+71</f>
        <v>132</v>
      </c>
      <c r="AB71" s="29">
        <v>2</v>
      </c>
      <c r="AC71" s="30">
        <f>+AA71+0</f>
        <v>132</v>
      </c>
      <c r="AD71" s="29">
        <v>3</v>
      </c>
      <c r="AE71" s="30">
        <f>+AC71+21</f>
        <v>153</v>
      </c>
      <c r="AF71" s="29">
        <v>3</v>
      </c>
      <c r="AG71" s="30">
        <f>+AE71+0</f>
        <v>153</v>
      </c>
      <c r="AH71" s="29">
        <v>3</v>
      </c>
      <c r="AI71" s="30">
        <f>+AG71+0</f>
        <v>153</v>
      </c>
      <c r="AJ71" s="29">
        <f>+AH71+0</f>
        <v>3</v>
      </c>
      <c r="AK71" s="30">
        <f t="shared" si="95"/>
        <v>153</v>
      </c>
      <c r="AL71" s="29">
        <f>+AJ71+0</f>
        <v>3</v>
      </c>
      <c r="AM71" s="30">
        <f t="shared" si="81"/>
        <v>153</v>
      </c>
      <c r="AN71" s="99">
        <f t="shared" si="9"/>
        <v>3</v>
      </c>
      <c r="AO71" s="100">
        <f t="shared" si="10"/>
        <v>153</v>
      </c>
    </row>
    <row r="72" spans="1:41" x14ac:dyDescent="0.25">
      <c r="A72" s="67"/>
      <c r="B72" s="1" t="s">
        <v>50</v>
      </c>
      <c r="C72" s="35">
        <f>19</f>
        <v>19</v>
      </c>
      <c r="D72" s="13">
        <f t="shared" si="61"/>
        <v>9.3596059113300496E-3</v>
      </c>
      <c r="E72" s="35">
        <f>33+43+44+57+59+28+32+24+24+13+20+10+39+51+19+7+7+36+35+26+18</f>
        <v>625</v>
      </c>
      <c r="F72" s="13">
        <f t="shared" si="75"/>
        <v>6.4624865580279597E-3</v>
      </c>
      <c r="G72" s="16">
        <f t="shared" si="5"/>
        <v>32.89473684210526</v>
      </c>
      <c r="H72" s="2">
        <v>16</v>
      </c>
      <c r="I72" s="9"/>
      <c r="J72" s="35">
        <v>2</v>
      </c>
      <c r="K72" s="35"/>
      <c r="L72" s="1">
        <v>1</v>
      </c>
      <c r="M72" s="1"/>
      <c r="N72" s="29">
        <v>5</v>
      </c>
      <c r="O72" s="30">
        <f>55+33+43+44+57</f>
        <v>232</v>
      </c>
      <c r="P72" s="29">
        <f>+N72+0</f>
        <v>5</v>
      </c>
      <c r="Q72" s="30">
        <f>+O72+0</f>
        <v>232</v>
      </c>
      <c r="R72" s="29">
        <f t="shared" ref="R72:R78" si="96">+P72+0</f>
        <v>5</v>
      </c>
      <c r="S72" s="30">
        <f t="shared" si="94"/>
        <v>232</v>
      </c>
      <c r="T72" s="29">
        <f>+R72+0</f>
        <v>5</v>
      </c>
      <c r="U72" s="30">
        <f>+S72+0</f>
        <v>232</v>
      </c>
      <c r="V72" s="29">
        <f>+T72+1</f>
        <v>6</v>
      </c>
      <c r="W72" s="30">
        <f>+U72+46+14</f>
        <v>292</v>
      </c>
      <c r="X72" s="29">
        <f>+V72+0</f>
        <v>6</v>
      </c>
      <c r="Y72" s="30">
        <f>+W72+0</f>
        <v>292</v>
      </c>
      <c r="Z72" s="29">
        <f>+X72+3</f>
        <v>9</v>
      </c>
      <c r="AA72" s="30">
        <f>+Y72+27+59+21</f>
        <v>399</v>
      </c>
      <c r="AB72" s="29">
        <f>+Z72+4</f>
        <v>13</v>
      </c>
      <c r="AC72" s="30">
        <f>+AA72+28+32+24+24</f>
        <v>507</v>
      </c>
      <c r="AD72" s="29">
        <f>+AB72+1-1</f>
        <v>13</v>
      </c>
      <c r="AE72" s="30">
        <f>+AC72+13-55</f>
        <v>465</v>
      </c>
      <c r="AF72" s="29">
        <f>+AD72+2</f>
        <v>15</v>
      </c>
      <c r="AG72" s="30">
        <f>+AE72+20+10+39</f>
        <v>534</v>
      </c>
      <c r="AH72" s="29">
        <f>+AF72+2-2</f>
        <v>15</v>
      </c>
      <c r="AI72" s="30">
        <f>+AG72+51+19-46-14-27</f>
        <v>517</v>
      </c>
      <c r="AJ72" s="29">
        <f>+AH72+0-1</f>
        <v>14</v>
      </c>
      <c r="AK72" s="30">
        <f>+AI72+0-21</f>
        <v>496</v>
      </c>
      <c r="AL72" s="29">
        <f>+AJ72+2</f>
        <v>16</v>
      </c>
      <c r="AM72" s="30">
        <f>+AK72+7+7+36</f>
        <v>546</v>
      </c>
      <c r="AN72" s="95">
        <f>+AL72+3</f>
        <v>19</v>
      </c>
      <c r="AO72" s="96">
        <f>+AM72+35+26+18</f>
        <v>625</v>
      </c>
    </row>
    <row r="73" spans="1:41" x14ac:dyDescent="0.25">
      <c r="A73" s="67"/>
      <c r="B73" s="1" t="s">
        <v>51</v>
      </c>
      <c r="C73" s="1">
        <v>40</v>
      </c>
      <c r="D73" s="13">
        <f t="shared" ref="D73:D104" si="97">+C73/$C$158</f>
        <v>1.9704433497536946E-2</v>
      </c>
      <c r="E73" s="1">
        <f>51+62+62+23+7+2+98+83+27+51+36+48+47+25+52+33+21+15+43+58+58+35+58+54+58+48+51+52+47+38+32+13+49+59+18+42+104+8+33+46</f>
        <v>1747</v>
      </c>
      <c r="F73" s="13">
        <f t="shared" si="75"/>
        <v>1.8063942426999751E-2</v>
      </c>
      <c r="G73" s="16">
        <f t="shared" si="5"/>
        <v>43.674999999999997</v>
      </c>
      <c r="H73" s="2">
        <v>40</v>
      </c>
      <c r="I73" s="9"/>
      <c r="J73" s="1"/>
      <c r="K73" s="1"/>
      <c r="L73" s="1"/>
      <c r="M73" s="1"/>
      <c r="N73" s="29">
        <v>0</v>
      </c>
      <c r="O73" s="30">
        <v>0</v>
      </c>
      <c r="P73" s="29">
        <f>+N73+0</f>
        <v>0</v>
      </c>
      <c r="Q73" s="30">
        <f>+O73+0</f>
        <v>0</v>
      </c>
      <c r="R73" s="29">
        <f t="shared" si="96"/>
        <v>0</v>
      </c>
      <c r="S73" s="30">
        <f t="shared" si="94"/>
        <v>0</v>
      </c>
      <c r="T73" s="29">
        <f>+R73+3</f>
        <v>3</v>
      </c>
      <c r="U73" s="30">
        <f>+S73+51+18+62</f>
        <v>131</v>
      </c>
      <c r="V73" s="29">
        <f>+T73+1</f>
        <v>4</v>
      </c>
      <c r="W73" s="30">
        <f>+U73+62</f>
        <v>193</v>
      </c>
      <c r="X73" s="29">
        <f>+V73+3</f>
        <v>7</v>
      </c>
      <c r="Y73" s="30">
        <f>+W73+23+7+2</f>
        <v>225</v>
      </c>
      <c r="Z73" s="29">
        <f>+X73+14</f>
        <v>21</v>
      </c>
      <c r="AA73" s="30">
        <f>+Y73+98+83+27+51+36+48+47+25+52+33+14+21+15+43</f>
        <v>818</v>
      </c>
      <c r="AB73" s="29">
        <f>+Z73+3</f>
        <v>24</v>
      </c>
      <c r="AC73" s="30">
        <f>+AA73+58+78+29</f>
        <v>983</v>
      </c>
      <c r="AD73" s="29">
        <f>+AB73+8-2</f>
        <v>30</v>
      </c>
      <c r="AE73" s="30">
        <f>+AC73+58+35+58+54+58+48+51+52-78-29</f>
        <v>1290</v>
      </c>
      <c r="AF73" s="29">
        <f>+AD73+4</f>
        <v>34</v>
      </c>
      <c r="AG73" s="30">
        <f>+AE73+47+38+32+13</f>
        <v>1420</v>
      </c>
      <c r="AH73" s="29">
        <f>+AF73+3-1</f>
        <v>36</v>
      </c>
      <c r="AI73" s="30">
        <f>+AG73+49+59+18-14</f>
        <v>1532</v>
      </c>
      <c r="AJ73" s="29">
        <f>+AH73+3-1</f>
        <v>38</v>
      </c>
      <c r="AK73" s="30">
        <f>+AI73+42+104+8-18</f>
        <v>1668</v>
      </c>
      <c r="AL73" s="29">
        <f>+AJ73+2</f>
        <v>40</v>
      </c>
      <c r="AM73" s="30">
        <f>+AK73+33+46</f>
        <v>1747</v>
      </c>
      <c r="AN73" s="99">
        <f t="shared" si="9"/>
        <v>40</v>
      </c>
      <c r="AO73" s="100">
        <f t="shared" si="10"/>
        <v>1747</v>
      </c>
    </row>
    <row r="74" spans="1:41" x14ac:dyDescent="0.25">
      <c r="A74" s="67"/>
      <c r="B74" s="1" t="s">
        <v>52</v>
      </c>
      <c r="C74" s="1">
        <v>22</v>
      </c>
      <c r="D74" s="13">
        <f t="shared" si="97"/>
        <v>1.083743842364532E-2</v>
      </c>
      <c r="E74" s="1">
        <f>49+73+38+67+72+39+49+83+40+47+38+64+22+32+70+57+48+26+37+40+55+34</f>
        <v>1080</v>
      </c>
      <c r="F74" s="13">
        <f t="shared" si="75"/>
        <v>1.1167176772272313E-2</v>
      </c>
      <c r="G74" s="16">
        <f t="shared" si="5"/>
        <v>49.090909090909093</v>
      </c>
      <c r="H74" s="2">
        <v>21</v>
      </c>
      <c r="I74" s="9"/>
      <c r="J74" s="1"/>
      <c r="K74" s="1"/>
      <c r="L74" s="1">
        <v>1</v>
      </c>
      <c r="M74" s="1"/>
      <c r="N74" s="29">
        <v>0</v>
      </c>
      <c r="O74" s="30">
        <v>0</v>
      </c>
      <c r="P74" s="29">
        <f>+N74+0</f>
        <v>0</v>
      </c>
      <c r="Q74" s="30">
        <f>+O74+0</f>
        <v>0</v>
      </c>
      <c r="R74" s="29">
        <f t="shared" si="96"/>
        <v>0</v>
      </c>
      <c r="S74" s="30">
        <f t="shared" si="94"/>
        <v>0</v>
      </c>
      <c r="T74" s="29">
        <f>+R74+0</f>
        <v>0</v>
      </c>
      <c r="U74" s="30">
        <f>+S74+0</f>
        <v>0</v>
      </c>
      <c r="V74" s="29">
        <f>+T74+0</f>
        <v>0</v>
      </c>
      <c r="W74" s="30">
        <f>+U74+0</f>
        <v>0</v>
      </c>
      <c r="X74" s="29">
        <f>+V74+3</f>
        <v>3</v>
      </c>
      <c r="Y74" s="30">
        <f>+W74+49+73+38</f>
        <v>160</v>
      </c>
      <c r="Z74" s="29">
        <f>+X74+2</f>
        <v>5</v>
      </c>
      <c r="AA74" s="30">
        <f>+Y74+67+72</f>
        <v>299</v>
      </c>
      <c r="AB74" s="29">
        <f>+Z74+0</f>
        <v>5</v>
      </c>
      <c r="AC74" s="30">
        <f>+AA74+0</f>
        <v>299</v>
      </c>
      <c r="AD74" s="29">
        <f>+AB74+12</f>
        <v>17</v>
      </c>
      <c r="AE74" s="30">
        <f>+AC74+39+49+83+24+40+47+38+64+22+27+38+16</f>
        <v>786</v>
      </c>
      <c r="AF74" s="29">
        <f>+AD74+1</f>
        <v>18</v>
      </c>
      <c r="AG74" s="30">
        <f>+AE74+31</f>
        <v>817</v>
      </c>
      <c r="AH74" s="29">
        <f>+AF74+4</f>
        <v>22</v>
      </c>
      <c r="AI74" s="30">
        <f>+AG74+70+57+48+26</f>
        <v>1018</v>
      </c>
      <c r="AJ74" s="29">
        <f>+AH74+0</f>
        <v>22</v>
      </c>
      <c r="AK74" s="30">
        <f>+AI74+0</f>
        <v>1018</v>
      </c>
      <c r="AL74" s="29">
        <f>+AJ74+4-4</f>
        <v>22</v>
      </c>
      <c r="AM74" s="30">
        <f>+AK74+37+40+55+34-24-27-6-16-31</f>
        <v>1080</v>
      </c>
      <c r="AN74" s="99">
        <f t="shared" si="9"/>
        <v>22</v>
      </c>
      <c r="AO74" s="100">
        <f t="shared" si="10"/>
        <v>1080</v>
      </c>
    </row>
    <row r="75" spans="1:41" x14ac:dyDescent="0.25">
      <c r="A75" s="67"/>
      <c r="B75" s="1" t="s">
        <v>53</v>
      </c>
      <c r="C75" s="1">
        <v>9</v>
      </c>
      <c r="D75" s="13">
        <f t="shared" si="97"/>
        <v>4.4334975369458131E-3</v>
      </c>
      <c r="E75" s="1">
        <f>286-89+3</f>
        <v>200</v>
      </c>
      <c r="F75" s="13">
        <f t="shared" si="75"/>
        <v>2.067995698568947E-3</v>
      </c>
      <c r="G75" s="16">
        <f t="shared" si="5"/>
        <v>22.222222222222221</v>
      </c>
      <c r="H75" s="2">
        <v>5</v>
      </c>
      <c r="I75" s="9"/>
      <c r="J75" s="1">
        <v>4</v>
      </c>
      <c r="K75" s="1"/>
      <c r="L75" s="1"/>
      <c r="M75" s="1"/>
      <c r="N75" s="29">
        <v>3</v>
      </c>
      <c r="O75" s="30">
        <f>18+12+30</f>
        <v>60</v>
      </c>
      <c r="P75" s="29">
        <f>+N75+1</f>
        <v>4</v>
      </c>
      <c r="Q75" s="30">
        <f>+O75+10+7</f>
        <v>77</v>
      </c>
      <c r="R75" s="29">
        <f t="shared" si="96"/>
        <v>4</v>
      </c>
      <c r="S75" s="30">
        <f t="shared" si="94"/>
        <v>77</v>
      </c>
      <c r="T75" s="29">
        <f t="shared" ref="T75:U78" si="98">+R75+0</f>
        <v>4</v>
      </c>
      <c r="U75" s="30">
        <f t="shared" si="98"/>
        <v>77</v>
      </c>
      <c r="V75" s="29">
        <f>+T75+2</f>
        <v>6</v>
      </c>
      <c r="W75" s="30">
        <f>+U75+14+12+12+16</f>
        <v>131</v>
      </c>
      <c r="X75" s="29">
        <f>+V75+0</f>
        <v>6</v>
      </c>
      <c r="Y75" s="30">
        <f>+W75+0</f>
        <v>131</v>
      </c>
      <c r="Z75" s="29">
        <f>+X75+1</f>
        <v>7</v>
      </c>
      <c r="AA75" s="30">
        <f>+Y75+48</f>
        <v>179</v>
      </c>
      <c r="AB75" s="29">
        <f>+Z75+2</f>
        <v>9</v>
      </c>
      <c r="AC75" s="30">
        <f>+AA75+89+7+7+4</f>
        <v>286</v>
      </c>
      <c r="AD75" s="29">
        <f t="shared" ref="AD75:AI75" si="99">+AB75+0</f>
        <v>9</v>
      </c>
      <c r="AE75" s="30">
        <f t="shared" si="99"/>
        <v>286</v>
      </c>
      <c r="AF75" s="29">
        <f t="shared" si="99"/>
        <v>9</v>
      </c>
      <c r="AG75" s="30">
        <f t="shared" si="99"/>
        <v>286</v>
      </c>
      <c r="AH75" s="29">
        <f t="shared" si="99"/>
        <v>9</v>
      </c>
      <c r="AI75" s="30">
        <f t="shared" si="99"/>
        <v>286</v>
      </c>
      <c r="AJ75" s="29">
        <f>+AH75+1-1</f>
        <v>9</v>
      </c>
      <c r="AK75" s="30">
        <f>+AI75+3-89</f>
        <v>200</v>
      </c>
      <c r="AL75" s="29">
        <f>+AJ75+0</f>
        <v>9</v>
      </c>
      <c r="AM75" s="30">
        <f t="shared" si="81"/>
        <v>200</v>
      </c>
      <c r="AN75" s="99">
        <f t="shared" si="9"/>
        <v>9</v>
      </c>
      <c r="AO75" s="100">
        <f t="shared" si="10"/>
        <v>200</v>
      </c>
    </row>
    <row r="76" spans="1:41" x14ac:dyDescent="0.25">
      <c r="A76" s="67"/>
      <c r="B76" s="1" t="s">
        <v>54</v>
      </c>
      <c r="C76" s="1">
        <v>6</v>
      </c>
      <c r="D76" s="13">
        <f t="shared" si="97"/>
        <v>2.9556650246305421E-3</v>
      </c>
      <c r="E76" s="1">
        <v>227</v>
      </c>
      <c r="F76" s="13">
        <f t="shared" si="75"/>
        <v>2.3471751178757547E-3</v>
      </c>
      <c r="G76" s="16">
        <f t="shared" si="5"/>
        <v>37.833333333333336</v>
      </c>
      <c r="H76" s="2">
        <v>5</v>
      </c>
      <c r="I76" s="9"/>
      <c r="J76" s="1"/>
      <c r="K76" s="1"/>
      <c r="L76" s="1">
        <v>1</v>
      </c>
      <c r="M76" s="1"/>
      <c r="N76" s="29">
        <v>0</v>
      </c>
      <c r="O76" s="30">
        <v>0</v>
      </c>
      <c r="P76" s="29">
        <f t="shared" ref="P76:Q78" si="100">+N76+0</f>
        <v>0</v>
      </c>
      <c r="Q76" s="30">
        <f t="shared" si="100"/>
        <v>0</v>
      </c>
      <c r="R76" s="29">
        <f t="shared" si="96"/>
        <v>0</v>
      </c>
      <c r="S76" s="30">
        <f t="shared" si="94"/>
        <v>0</v>
      </c>
      <c r="T76" s="29">
        <f t="shared" si="98"/>
        <v>0</v>
      </c>
      <c r="U76" s="30">
        <f t="shared" si="98"/>
        <v>0</v>
      </c>
      <c r="V76" s="29">
        <f>+T76+1</f>
        <v>1</v>
      </c>
      <c r="W76" s="30">
        <f>+U76+57</f>
        <v>57</v>
      </c>
      <c r="X76" s="29">
        <v>1</v>
      </c>
      <c r="Y76" s="30">
        <f>+W76+0</f>
        <v>57</v>
      </c>
      <c r="Z76" s="29">
        <f>+X76+2</f>
        <v>3</v>
      </c>
      <c r="AA76" s="30">
        <f>+Y76+46+27</f>
        <v>130</v>
      </c>
      <c r="AB76" s="29">
        <f>+Z76+2</f>
        <v>5</v>
      </c>
      <c r="AC76" s="30">
        <f>+AA76+45+30</f>
        <v>205</v>
      </c>
      <c r="AD76" s="29">
        <f>+AB76+0</f>
        <v>5</v>
      </c>
      <c r="AE76" s="30">
        <f>+AC76+0</f>
        <v>205</v>
      </c>
      <c r="AF76" s="29">
        <f>+AD76+1</f>
        <v>6</v>
      </c>
      <c r="AG76" s="30">
        <f>+AE76+22</f>
        <v>227</v>
      </c>
      <c r="AH76" s="29">
        <f>+AF76+0</f>
        <v>6</v>
      </c>
      <c r="AI76" s="30">
        <f>+AG76+0</f>
        <v>227</v>
      </c>
      <c r="AJ76" s="29">
        <f>+AH76+0</f>
        <v>6</v>
      </c>
      <c r="AK76" s="30">
        <f t="shared" si="95"/>
        <v>227</v>
      </c>
      <c r="AL76" s="29">
        <f>+AJ76+0</f>
        <v>6</v>
      </c>
      <c r="AM76" s="30">
        <f t="shared" si="81"/>
        <v>227</v>
      </c>
      <c r="AN76" s="99">
        <f t="shared" si="9"/>
        <v>6</v>
      </c>
      <c r="AO76" s="100">
        <f t="shared" si="10"/>
        <v>227</v>
      </c>
    </row>
    <row r="77" spans="1:41" x14ac:dyDescent="0.25">
      <c r="A77" s="67"/>
      <c r="B77" s="1" t="s">
        <v>55</v>
      </c>
      <c r="C77" s="35">
        <f>15</f>
        <v>15</v>
      </c>
      <c r="D77" s="13">
        <f t="shared" si="97"/>
        <v>7.3891625615763543E-3</v>
      </c>
      <c r="E77" s="35">
        <f>43+27+53+27+76+76+56+48+32+56+8+73+33+28+41+31</f>
        <v>708</v>
      </c>
      <c r="F77" s="13">
        <f t="shared" si="75"/>
        <v>7.3207047729340726E-3</v>
      </c>
      <c r="G77" s="16">
        <f t="shared" si="5"/>
        <v>47.2</v>
      </c>
      <c r="H77" s="34">
        <v>13</v>
      </c>
      <c r="I77" s="33"/>
      <c r="J77" s="1"/>
      <c r="K77" s="1"/>
      <c r="L77" s="1">
        <v>2</v>
      </c>
      <c r="M77" s="1"/>
      <c r="N77" s="29">
        <v>0</v>
      </c>
      <c r="O77" s="30">
        <v>0</v>
      </c>
      <c r="P77" s="29">
        <f t="shared" si="100"/>
        <v>0</v>
      </c>
      <c r="Q77" s="30">
        <f t="shared" si="100"/>
        <v>0</v>
      </c>
      <c r="R77" s="29">
        <f t="shared" si="96"/>
        <v>0</v>
      </c>
      <c r="S77" s="30">
        <f t="shared" si="94"/>
        <v>0</v>
      </c>
      <c r="T77" s="29">
        <f t="shared" si="98"/>
        <v>0</v>
      </c>
      <c r="U77" s="30">
        <f t="shared" si="98"/>
        <v>0</v>
      </c>
      <c r="V77" s="29">
        <f>+T77+1</f>
        <v>1</v>
      </c>
      <c r="W77" s="30">
        <f>+U77+43</f>
        <v>43</v>
      </c>
      <c r="X77" s="29">
        <f>+V77+2</f>
        <v>3</v>
      </c>
      <c r="Y77" s="30">
        <f>+W77+27+53</f>
        <v>123</v>
      </c>
      <c r="Z77" s="29">
        <f>+X77+0</f>
        <v>3</v>
      </c>
      <c r="AA77" s="30">
        <f>+Y77+0</f>
        <v>123</v>
      </c>
      <c r="AB77" s="29">
        <f>+Z77+3</f>
        <v>6</v>
      </c>
      <c r="AC77" s="30">
        <f>+AA77+14+27+76</f>
        <v>240</v>
      </c>
      <c r="AD77" s="29">
        <f>+AB77+5</f>
        <v>11</v>
      </c>
      <c r="AE77" s="30">
        <f>+AC77+76+56+48+32+56+8</f>
        <v>516</v>
      </c>
      <c r="AF77" s="29">
        <f>+AD77+0</f>
        <v>11</v>
      </c>
      <c r="AG77" s="30">
        <f>+AE77+0</f>
        <v>516</v>
      </c>
      <c r="AH77" s="29">
        <f>+AF77+1</f>
        <v>12</v>
      </c>
      <c r="AI77" s="30">
        <f>+AG77+73</f>
        <v>589</v>
      </c>
      <c r="AJ77" s="29">
        <f>+AH77+1-1</f>
        <v>12</v>
      </c>
      <c r="AK77" s="30">
        <f>+AI77+33-14</f>
        <v>608</v>
      </c>
      <c r="AL77" s="29">
        <f>+AJ77+2</f>
        <v>14</v>
      </c>
      <c r="AM77" s="30">
        <f>+AK77+28+41</f>
        <v>677</v>
      </c>
      <c r="AN77" s="95">
        <f>+AL77+1</f>
        <v>15</v>
      </c>
      <c r="AO77" s="96">
        <f>+AM77+31</f>
        <v>708</v>
      </c>
    </row>
    <row r="78" spans="1:41" x14ac:dyDescent="0.25">
      <c r="A78" s="68"/>
      <c r="B78" s="1" t="s">
        <v>56</v>
      </c>
      <c r="C78" s="1">
        <v>22</v>
      </c>
      <c r="D78" s="13">
        <f t="shared" si="97"/>
        <v>1.083743842364532E-2</v>
      </c>
      <c r="E78" s="1">
        <f>40+35+42+101+42+30+30+49+6+29+14+24+29+42+36+25+41+21+11+12+20+7+7</f>
        <v>693</v>
      </c>
      <c r="F78" s="13">
        <f t="shared" si="75"/>
        <v>7.1656050955414014E-3</v>
      </c>
      <c r="G78" s="16">
        <f t="shared" si="5"/>
        <v>31.5</v>
      </c>
      <c r="H78" s="2">
        <v>21</v>
      </c>
      <c r="I78" s="9"/>
      <c r="J78" s="1"/>
      <c r="K78" s="1"/>
      <c r="L78" s="1">
        <v>1</v>
      </c>
      <c r="M78" s="1"/>
      <c r="N78" s="29">
        <v>0</v>
      </c>
      <c r="O78" s="30">
        <v>0</v>
      </c>
      <c r="P78" s="29">
        <f t="shared" si="100"/>
        <v>0</v>
      </c>
      <c r="Q78" s="30">
        <f t="shared" si="100"/>
        <v>0</v>
      </c>
      <c r="R78" s="29">
        <f t="shared" si="96"/>
        <v>0</v>
      </c>
      <c r="S78" s="30">
        <f t="shared" si="94"/>
        <v>0</v>
      </c>
      <c r="T78" s="29">
        <f t="shared" si="98"/>
        <v>0</v>
      </c>
      <c r="U78" s="30">
        <f t="shared" si="98"/>
        <v>0</v>
      </c>
      <c r="V78" s="29">
        <f>+T78+2</f>
        <v>2</v>
      </c>
      <c r="W78" s="30">
        <f>+U78+40+35</f>
        <v>75</v>
      </c>
      <c r="X78" s="29">
        <f>+V78+2</f>
        <v>4</v>
      </c>
      <c r="Y78" s="30">
        <f>+W78+42+101</f>
        <v>218</v>
      </c>
      <c r="Z78" s="29">
        <f>+X78+3</f>
        <v>7</v>
      </c>
      <c r="AA78" s="30">
        <f>+Y78+42+30+30</f>
        <v>320</v>
      </c>
      <c r="AB78" s="29">
        <f>+Z78+1</f>
        <v>8</v>
      </c>
      <c r="AC78" s="30">
        <f>+AA78+49+6</f>
        <v>375</v>
      </c>
      <c r="AD78" s="29">
        <f>+AB78+5</f>
        <v>13</v>
      </c>
      <c r="AE78" s="30">
        <f>+AC78+29+14+24+29+42</f>
        <v>513</v>
      </c>
      <c r="AF78" s="29">
        <f>+AD78+0</f>
        <v>13</v>
      </c>
      <c r="AG78" s="30">
        <f>+AE78+0</f>
        <v>513</v>
      </c>
      <c r="AH78" s="29">
        <f>+AF78+3</f>
        <v>16</v>
      </c>
      <c r="AI78" s="30">
        <f>+AG78+36+25+41</f>
        <v>615</v>
      </c>
      <c r="AJ78" s="29">
        <f>+AH78+1</f>
        <v>17</v>
      </c>
      <c r="AK78" s="30">
        <f>+AI78+21</f>
        <v>636</v>
      </c>
      <c r="AL78" s="29">
        <f>+AJ78+0</f>
        <v>17</v>
      </c>
      <c r="AM78" s="30">
        <f t="shared" si="81"/>
        <v>636</v>
      </c>
      <c r="AN78" s="99">
        <f>+AL78+5</f>
        <v>22</v>
      </c>
      <c r="AO78" s="100">
        <f>+AM78+11+12+20+7+7</f>
        <v>693</v>
      </c>
    </row>
    <row r="79" spans="1:41" x14ac:dyDescent="0.25">
      <c r="A79" s="73" t="s">
        <v>41</v>
      </c>
      <c r="B79" s="74"/>
      <c r="C79" s="21">
        <f>SUM(C55:C78)</f>
        <v>491</v>
      </c>
      <c r="D79" s="14">
        <f t="shared" si="97"/>
        <v>0.241871921182266</v>
      </c>
      <c r="E79" s="21">
        <f>SUM(E55:E78)</f>
        <v>21238</v>
      </c>
      <c r="F79" s="14">
        <f t="shared" si="75"/>
        <v>0.21960046323103649</v>
      </c>
      <c r="G79" s="17">
        <f t="shared" si="5"/>
        <v>43.254582484725049</v>
      </c>
      <c r="H79" s="18">
        <f>SUM(H55:H78)</f>
        <v>421</v>
      </c>
      <c r="I79" s="63">
        <f>+H79/$C$79</f>
        <v>0.85743380855397144</v>
      </c>
      <c r="J79" s="21">
        <f>SUM(J55:J78)</f>
        <v>44</v>
      </c>
      <c r="K79" s="63">
        <f>+J79/$C$79</f>
        <v>8.9613034623217916E-2</v>
      </c>
      <c r="L79" s="21">
        <f>SUM(L55:L78)</f>
        <v>26</v>
      </c>
      <c r="M79" s="63">
        <f>+L79/$C$79</f>
        <v>5.2953156822810592E-2</v>
      </c>
      <c r="N79" s="24">
        <f t="shared" ref="N79:AN79" si="101">SUM(N55:N78)</f>
        <v>35</v>
      </c>
      <c r="O79" s="27">
        <f t="shared" si="101"/>
        <v>1898</v>
      </c>
      <c r="P79" s="24">
        <f t="shared" si="101"/>
        <v>42</v>
      </c>
      <c r="Q79" s="27">
        <f t="shared" si="101"/>
        <v>2109</v>
      </c>
      <c r="R79" s="24">
        <f t="shared" si="101"/>
        <v>44</v>
      </c>
      <c r="S79" s="27">
        <f>SUM(S55:S78)</f>
        <v>2214</v>
      </c>
      <c r="T79" s="24">
        <f t="shared" si="101"/>
        <v>83</v>
      </c>
      <c r="U79" s="27">
        <f>SUM(U55:U78)</f>
        <v>3866</v>
      </c>
      <c r="V79" s="24">
        <f t="shared" si="101"/>
        <v>115</v>
      </c>
      <c r="W79" s="27">
        <f>SUM(W55:W78)</f>
        <v>5264</v>
      </c>
      <c r="X79" s="24">
        <f t="shared" si="101"/>
        <v>145</v>
      </c>
      <c r="Y79" s="27">
        <f>SUM(Y55:Y78)</f>
        <v>6556</v>
      </c>
      <c r="Z79" s="24">
        <f t="shared" si="101"/>
        <v>219</v>
      </c>
      <c r="AA79" s="27">
        <f>SUM(AA55:AA78)</f>
        <v>10107</v>
      </c>
      <c r="AB79" s="24">
        <f t="shared" si="101"/>
        <v>292</v>
      </c>
      <c r="AC79" s="27">
        <f>SUM(AC55:AC78)</f>
        <v>13465</v>
      </c>
      <c r="AD79" s="24">
        <f t="shared" si="101"/>
        <v>386</v>
      </c>
      <c r="AE79" s="27">
        <f>SUM(AE55:AE78)</f>
        <v>17485</v>
      </c>
      <c r="AF79" s="24">
        <f t="shared" si="101"/>
        <v>424</v>
      </c>
      <c r="AG79" s="27">
        <f>SUM(AG55:AG78)</f>
        <v>18904</v>
      </c>
      <c r="AH79" s="24">
        <f t="shared" si="101"/>
        <v>449</v>
      </c>
      <c r="AI79" s="27">
        <f>SUM(AI55:AI78)</f>
        <v>19812</v>
      </c>
      <c r="AJ79" s="24">
        <f t="shared" si="101"/>
        <v>461</v>
      </c>
      <c r="AK79" s="27">
        <f>SUM(AK55:AK78)</f>
        <v>20194</v>
      </c>
      <c r="AL79" s="24">
        <f t="shared" si="101"/>
        <v>471</v>
      </c>
      <c r="AM79" s="27">
        <f>SUM(AM55:AM78)</f>
        <v>20575</v>
      </c>
      <c r="AN79" s="24">
        <f t="shared" si="101"/>
        <v>491</v>
      </c>
      <c r="AO79" s="27">
        <f>SUM(AO55:AO78)</f>
        <v>21238</v>
      </c>
    </row>
    <row r="80" spans="1:41" x14ac:dyDescent="0.25">
      <c r="A80" s="66">
        <v>16</v>
      </c>
      <c r="B80" s="1" t="s">
        <v>57</v>
      </c>
      <c r="C80" s="35">
        <v>66</v>
      </c>
      <c r="D80" s="13">
        <f t="shared" si="97"/>
        <v>3.2512315270935961E-2</v>
      </c>
      <c r="E80" s="35">
        <f>2564-11-15-15-3-2-3-1+56+25+40+30+31+63+38+40+74+88+64+56+33+51+24+12+8+65</f>
        <v>3312</v>
      </c>
      <c r="F80" s="13">
        <f t="shared" si="75"/>
        <v>3.4246008768301764E-2</v>
      </c>
      <c r="G80" s="16">
        <f t="shared" ref="G80:G92" si="102">IF(C80=0,"",E80/C80)</f>
        <v>50.18181818181818</v>
      </c>
      <c r="H80" s="2">
        <v>41</v>
      </c>
      <c r="I80" s="9"/>
      <c r="J80" s="1">
        <v>23</v>
      </c>
      <c r="K80" s="1"/>
      <c r="L80" s="1">
        <v>2</v>
      </c>
      <c r="M80" s="1"/>
      <c r="N80" s="29">
        <v>13</v>
      </c>
      <c r="O80" s="30">
        <f>86+57+54+28+24+25+11+15+15+22+22+22+26+105+22+16+22+22+22+21+21+19+19+19+13+54+60+32+25+25+2+2+1-21-21</f>
        <v>887</v>
      </c>
      <c r="P80" s="29">
        <f>+N80+0</f>
        <v>13</v>
      </c>
      <c r="Q80" s="30">
        <f>+O80+0</f>
        <v>887</v>
      </c>
      <c r="R80" s="29">
        <f>+P80+1</f>
        <v>14</v>
      </c>
      <c r="S80" s="30">
        <f>+Q80+79</f>
        <v>966</v>
      </c>
      <c r="T80" s="29">
        <f>+R80+9</f>
        <v>23</v>
      </c>
      <c r="U80" s="30">
        <f>+S80+15+122+46+58+30+59+59+32+32+43</f>
        <v>1462</v>
      </c>
      <c r="V80" s="29">
        <f>+T80+3</f>
        <v>26</v>
      </c>
      <c r="W80" s="30">
        <f>+U80+52+38+3+3-57-54</f>
        <v>1447</v>
      </c>
      <c r="X80" s="29">
        <f>+V80+4-1</f>
        <v>29</v>
      </c>
      <c r="Y80" s="30">
        <f>+W80+84+23+23+70+3+3+3+3+3-2-2-1</f>
        <v>1657</v>
      </c>
      <c r="Z80" s="29">
        <f>+X80+12</f>
        <v>41</v>
      </c>
      <c r="AA80" s="30">
        <f>+Y80+29+21+64+88+42+44+33+29+27+70+84+8+5+8+51</f>
        <v>2260</v>
      </c>
      <c r="AB80" s="29">
        <f>+Z80+6</f>
        <v>47</v>
      </c>
      <c r="AC80" s="30">
        <f>+AA80+11+77+18+12+29+17+14+9+3+10</f>
        <v>2460</v>
      </c>
      <c r="AD80" s="29">
        <f>+AB80+7</f>
        <v>54</v>
      </c>
      <c r="AE80" s="30">
        <f>+AC80+14+24+35+35+13+13+2+2+3+2+2+14+3+2+1+3</f>
        <v>2628</v>
      </c>
      <c r="AF80" s="29">
        <f>+AD80+2</f>
        <v>56</v>
      </c>
      <c r="AG80" s="30">
        <f>+AE80+37+56</f>
        <v>2721</v>
      </c>
      <c r="AH80" s="29">
        <f>+AF80+5</f>
        <v>61</v>
      </c>
      <c r="AI80" s="30">
        <f>+AG80+25+40+30+31+63+38+40</f>
        <v>2988</v>
      </c>
      <c r="AJ80" s="29">
        <f>+AH80+8-2</f>
        <v>67</v>
      </c>
      <c r="AK80" s="30">
        <f>+AI80+74+88+64+56+33+51+24+12+8-11-15-15-22-22-3-2-1-3</f>
        <v>3304</v>
      </c>
      <c r="AL80" s="31">
        <f>+AJ80+1-1</f>
        <v>67</v>
      </c>
      <c r="AM80" s="32">
        <f>+AK80+65-2-2-3-2-2</f>
        <v>3358</v>
      </c>
      <c r="AN80" s="95">
        <f>+AL80+0-1</f>
        <v>66</v>
      </c>
      <c r="AO80" s="96">
        <f>+AM80+0-46</f>
        <v>3312</v>
      </c>
    </row>
    <row r="81" spans="1:41" x14ac:dyDescent="0.25">
      <c r="A81" s="67"/>
      <c r="B81" s="1" t="s">
        <v>60</v>
      </c>
      <c r="C81" s="1">
        <v>46</v>
      </c>
      <c r="D81" s="13">
        <f t="shared" si="97"/>
        <v>2.2660098522167486E-2</v>
      </c>
      <c r="E81" s="1">
        <f>33+23+23+15+44+41+41+29+18+13+11+11+29+11+16+11+154+44+87+23+14+33+33+27+28+33+25+10+5+4+14+35+55+23+17+13+71+21+36+20+77+32+10+8+39+31+55+14+39+9+11+10+5+10+13+52+3+5+21+67+20+23+57</f>
        <v>1805</v>
      </c>
      <c r="F81" s="13">
        <f t="shared" ref="F81:F112" si="103">+E81/$E$158</f>
        <v>1.8663661179584748E-2</v>
      </c>
      <c r="G81" s="16">
        <f t="shared" si="102"/>
        <v>39.239130434782609</v>
      </c>
      <c r="H81" s="2">
        <v>29</v>
      </c>
      <c r="I81" s="9"/>
      <c r="J81" s="1">
        <v>14</v>
      </c>
      <c r="K81" s="1"/>
      <c r="L81" s="1">
        <v>3</v>
      </c>
      <c r="M81" s="1"/>
      <c r="N81" s="29">
        <v>12</v>
      </c>
      <c r="O81" s="30">
        <f>33+33+23+23+15+44+44+41+41+29+18+13+11+11+29+11+16+11+154+44</f>
        <v>644</v>
      </c>
      <c r="P81" s="29">
        <f>+N81+1</f>
        <v>13</v>
      </c>
      <c r="Q81" s="30">
        <f>+O81+87</f>
        <v>731</v>
      </c>
      <c r="R81" s="29">
        <f>+P81+2</f>
        <v>15</v>
      </c>
      <c r="S81" s="30">
        <f>+Q81+23+14+42+45</f>
        <v>855</v>
      </c>
      <c r="T81" s="29">
        <f>+R81+1</f>
        <v>16</v>
      </c>
      <c r="U81" s="30">
        <f>+S81+33+33-33</f>
        <v>888</v>
      </c>
      <c r="V81" s="29">
        <f>+T81+2</f>
        <v>18</v>
      </c>
      <c r="W81" s="30">
        <f>+U81+27+28-44</f>
        <v>899</v>
      </c>
      <c r="X81" s="29">
        <f>+V81+4</f>
        <v>22</v>
      </c>
      <c r="Y81" s="30">
        <f>+W81+31+34+33+25+10+5+4</f>
        <v>1041</v>
      </c>
      <c r="Z81" s="29">
        <f>+X81+4</f>
        <v>26</v>
      </c>
      <c r="AA81" s="30">
        <f>+Y81+14+35+55+2+2+2+23</f>
        <v>1174</v>
      </c>
      <c r="AB81" s="29">
        <f>+Z81+3</f>
        <v>29</v>
      </c>
      <c r="AC81" s="30">
        <f>+AA81+17+13+71+21</f>
        <v>1296</v>
      </c>
      <c r="AD81" s="29">
        <f>+AB81+9-2</f>
        <v>36</v>
      </c>
      <c r="AE81" s="30">
        <f>+AC81+36+20+77+32+2+2+2+10+8+39+31+55+14-42-45-2-2-2</f>
        <v>1531</v>
      </c>
      <c r="AF81" s="29">
        <f>+AD81+5-1</f>
        <v>40</v>
      </c>
      <c r="AG81" s="30">
        <f>+AE81+39+9+11+10+5+10+13-2-2-2</f>
        <v>1622</v>
      </c>
      <c r="AH81" s="29">
        <f>+AF81+2-1</f>
        <v>41</v>
      </c>
      <c r="AI81" s="30">
        <f>+AG81+52+3+5-31-34</f>
        <v>1617</v>
      </c>
      <c r="AJ81" s="29">
        <f>+AH81+3</f>
        <v>44</v>
      </c>
      <c r="AK81" s="30">
        <f>+AI81+17+67+20</f>
        <v>1721</v>
      </c>
      <c r="AL81" s="29">
        <f>+AJ81+0</f>
        <v>44</v>
      </c>
      <c r="AM81" s="30">
        <f>+AK81+(4)</f>
        <v>1725</v>
      </c>
      <c r="AN81" s="99">
        <f>+AL81+2</f>
        <v>46</v>
      </c>
      <c r="AO81" s="100">
        <f>+AM81+23+57</f>
        <v>1805</v>
      </c>
    </row>
    <row r="82" spans="1:41" x14ac:dyDescent="0.25">
      <c r="A82" s="67"/>
      <c r="B82" s="1" t="s">
        <v>61</v>
      </c>
      <c r="C82" s="1">
        <v>5</v>
      </c>
      <c r="D82" s="13">
        <f t="shared" si="97"/>
        <v>2.4630541871921183E-3</v>
      </c>
      <c r="E82" s="1">
        <f>108+112+12+2+1+2+2</f>
        <v>239</v>
      </c>
      <c r="F82" s="13">
        <f t="shared" si="103"/>
        <v>2.4712548597898916E-3</v>
      </c>
      <c r="G82" s="16">
        <f t="shared" si="102"/>
        <v>47.8</v>
      </c>
      <c r="H82" s="2">
        <v>3</v>
      </c>
      <c r="I82" s="9"/>
      <c r="J82" s="1">
        <v>2</v>
      </c>
      <c r="K82" s="1"/>
      <c r="L82" s="1"/>
      <c r="M82" s="1"/>
      <c r="N82" s="29">
        <v>0</v>
      </c>
      <c r="O82" s="30">
        <v>0</v>
      </c>
      <c r="P82" s="29">
        <f t="shared" ref="P82:Y82" si="104">+N82+0</f>
        <v>0</v>
      </c>
      <c r="Q82" s="30">
        <f t="shared" si="104"/>
        <v>0</v>
      </c>
      <c r="R82" s="29">
        <f t="shared" si="104"/>
        <v>0</v>
      </c>
      <c r="S82" s="30">
        <f t="shared" si="104"/>
        <v>0</v>
      </c>
      <c r="T82" s="29">
        <f t="shared" si="104"/>
        <v>0</v>
      </c>
      <c r="U82" s="30">
        <f t="shared" si="104"/>
        <v>0</v>
      </c>
      <c r="V82" s="29">
        <f t="shared" si="104"/>
        <v>0</v>
      </c>
      <c r="W82" s="30">
        <f t="shared" si="104"/>
        <v>0</v>
      </c>
      <c r="X82" s="29">
        <f t="shared" si="104"/>
        <v>0</v>
      </c>
      <c r="Y82" s="30">
        <f t="shared" si="104"/>
        <v>0</v>
      </c>
      <c r="Z82" s="29">
        <f>+X82+1</f>
        <v>1</v>
      </c>
      <c r="AA82" s="30">
        <f>+Y82+28</f>
        <v>28</v>
      </c>
      <c r="AB82" s="29">
        <f>+Z82+0</f>
        <v>1</v>
      </c>
      <c r="AC82" s="30">
        <f>+AA82+0</f>
        <v>28</v>
      </c>
      <c r="AD82" s="29">
        <f>+AB82+1</f>
        <v>2</v>
      </c>
      <c r="AE82" s="30">
        <f>+AC82+40+40</f>
        <v>108</v>
      </c>
      <c r="AF82" s="29">
        <f>+AD82+0</f>
        <v>2</v>
      </c>
      <c r="AG82" s="30">
        <f>+AE82+0</f>
        <v>108</v>
      </c>
      <c r="AH82" s="29">
        <f>+AF82+2</f>
        <v>4</v>
      </c>
      <c r="AI82" s="30">
        <f>+AG82+112+12</f>
        <v>232</v>
      </c>
      <c r="AJ82" s="29">
        <f>+AH82+1</f>
        <v>5</v>
      </c>
      <c r="AK82" s="30">
        <f>+AI82+2+1+2+2</f>
        <v>239</v>
      </c>
      <c r="AL82" s="29">
        <f>+AJ82+0</f>
        <v>5</v>
      </c>
      <c r="AM82" s="30">
        <f>+AK82+0</f>
        <v>239</v>
      </c>
      <c r="AN82" s="99">
        <f>+AL82+0</f>
        <v>5</v>
      </c>
      <c r="AO82" s="100">
        <f>+AM82+0</f>
        <v>239</v>
      </c>
    </row>
    <row r="83" spans="1:41" x14ac:dyDescent="0.25">
      <c r="A83" s="67"/>
      <c r="B83" s="1" t="s">
        <v>62</v>
      </c>
      <c r="C83" s="35">
        <f>57+(1)</f>
        <v>58</v>
      </c>
      <c r="D83" s="13">
        <f t="shared" si="97"/>
        <v>2.8571428571428571E-2</v>
      </c>
      <c r="E83" s="35">
        <f>87+32+13+68+42+21+20+22+38+24+27+21+50+59+20+20+48+63+18+53+25+25+16+14+27+18+68+27+8+65+24+24+66+42+20+16+46+47+32+20+40+40+21+69+13+3+11+19+50+10+7+4+3+19+55+18+37+17+20+73+30+30+60+14+23+25+35+30+19+8+35+57+13+9+7+16+59+44+(19)</f>
        <v>2438</v>
      </c>
      <c r="F83" s="13">
        <f t="shared" si="103"/>
        <v>2.5208867565555463E-2</v>
      </c>
      <c r="G83" s="16">
        <f t="shared" si="102"/>
        <v>42.03448275862069</v>
      </c>
      <c r="H83" s="34">
        <f>42+(1)</f>
        <v>43</v>
      </c>
      <c r="I83" s="33"/>
      <c r="J83" s="35">
        <v>15</v>
      </c>
      <c r="K83" s="35"/>
      <c r="L83" s="1"/>
      <c r="M83" s="1"/>
      <c r="N83" s="29">
        <v>10</v>
      </c>
      <c r="O83" s="30">
        <f>87+32+13+11+11+7+7+12+27+27+68+42+21+20+22+38+24+27+21+50+59+20+20</f>
        <v>666</v>
      </c>
      <c r="P83" s="29">
        <f>+N83+2</f>
        <v>12</v>
      </c>
      <c r="Q83" s="30">
        <f>+O83+48+63</f>
        <v>777</v>
      </c>
      <c r="R83" s="29">
        <f>+P83+0</f>
        <v>12</v>
      </c>
      <c r="S83" s="30">
        <f>+Q83+0</f>
        <v>777</v>
      </c>
      <c r="T83" s="29">
        <f>+R83+6-1</f>
        <v>17</v>
      </c>
      <c r="U83" s="30">
        <f>+S83+18+53+25+25+16+14+37+18+68+58-27-27</f>
        <v>1055</v>
      </c>
      <c r="V83" s="29">
        <f>+T83+2</f>
        <v>19</v>
      </c>
      <c r="W83" s="30">
        <f>+U83+27+8-12</f>
        <v>1078</v>
      </c>
      <c r="X83" s="29">
        <f>+V83+4</f>
        <v>23</v>
      </c>
      <c r="Y83" s="30">
        <f>+W83+65+24+24+66+42</f>
        <v>1299</v>
      </c>
      <c r="Z83" s="29">
        <f>+X83+9</f>
        <v>32</v>
      </c>
      <c r="AA83" s="30">
        <f>+Y83+20+16+46+47+32+23+20+40+40+21+69+13+3+11</f>
        <v>1700</v>
      </c>
      <c r="AB83" s="29">
        <f>+Z83+3</f>
        <v>35</v>
      </c>
      <c r="AC83" s="30">
        <f>+AA83+19+50+10+7+4+3</f>
        <v>1793</v>
      </c>
      <c r="AD83" s="29">
        <f>+AB83+7</f>
        <v>42</v>
      </c>
      <c r="AE83" s="30">
        <f>+AC83+19+55+18+37+17+20+55</f>
        <v>2014</v>
      </c>
      <c r="AF83" s="29">
        <f>+AD83+5-1</f>
        <v>46</v>
      </c>
      <c r="AG83" s="30">
        <f>+AE83+73+30+30+60+14-11-11-7-7-55</f>
        <v>2130</v>
      </c>
      <c r="AH83" s="29">
        <f>+AF83+4</f>
        <v>50</v>
      </c>
      <c r="AI83" s="30">
        <f>+AG83+23+25+35+30+19-23</f>
        <v>2239</v>
      </c>
      <c r="AJ83" s="29">
        <f>+AH83+1</f>
        <v>51</v>
      </c>
      <c r="AK83" s="30">
        <f>+AI83+8+35-10</f>
        <v>2272</v>
      </c>
      <c r="AL83" s="31">
        <f>+AJ83+1-1</f>
        <v>51</v>
      </c>
      <c r="AM83" s="32">
        <f>+AK83+57-58</f>
        <v>2271</v>
      </c>
      <c r="AN83" s="95">
        <f>+AL83+6+(1)</f>
        <v>58</v>
      </c>
      <c r="AO83" s="96">
        <f>+AM83+13+9+7+16+59+44+(19)</f>
        <v>2438</v>
      </c>
    </row>
    <row r="84" spans="1:41" x14ac:dyDescent="0.25">
      <c r="A84" s="67"/>
      <c r="B84" s="1" t="s">
        <v>63</v>
      </c>
      <c r="C84" s="35">
        <f>36</f>
        <v>36</v>
      </c>
      <c r="D84" s="13">
        <f t="shared" si="97"/>
        <v>1.7733990147783252E-2</v>
      </c>
      <c r="E84" s="35">
        <f>36+33+53+36+53+22+55+66+34+42+23+14+11+26+17+32+25+20+16+16+16+64+59+85+45+10+10+68+21+21+36+36+15+21+63+31+46+10+22+7+32+77+37+14+38+31+42+17+30</f>
        <v>1634</v>
      </c>
      <c r="F84" s="13">
        <f t="shared" si="103"/>
        <v>1.6895524857308296E-2</v>
      </c>
      <c r="G84" s="16">
        <f t="shared" si="102"/>
        <v>45.388888888888886</v>
      </c>
      <c r="H84" s="34">
        <v>26</v>
      </c>
      <c r="I84" s="33"/>
      <c r="J84" s="1">
        <v>10</v>
      </c>
      <c r="K84" s="1"/>
      <c r="L84" s="1"/>
      <c r="M84" s="1"/>
      <c r="N84" s="29">
        <v>16</v>
      </c>
      <c r="O84" s="30">
        <f>36+33+32+24+53+28+36+53+22+20+20+55+66+86+34+42+23+20+20</f>
        <v>703</v>
      </c>
      <c r="P84" s="29">
        <f>+N84+0</f>
        <v>16</v>
      </c>
      <c r="Q84" s="30">
        <f>+O84+0</f>
        <v>703</v>
      </c>
      <c r="R84" s="29">
        <f>+P84+4</f>
        <v>20</v>
      </c>
      <c r="S84" s="30">
        <f>+Q84+14+11+26+17+32+25</f>
        <v>828</v>
      </c>
      <c r="T84" s="29">
        <f>+R84+4</f>
        <v>24</v>
      </c>
      <c r="U84" s="30">
        <f>+S84+20+20+16+16+16+64+59+85+45</f>
        <v>1169</v>
      </c>
      <c r="V84" s="29">
        <f>+T84+2</f>
        <v>26</v>
      </c>
      <c r="W84" s="30">
        <f>+U84+10+10+68</f>
        <v>1257</v>
      </c>
      <c r="X84" s="29">
        <f t="shared" ref="X84:Y86" si="105">+V84+0</f>
        <v>26</v>
      </c>
      <c r="Y84" s="30">
        <f t="shared" si="105"/>
        <v>1257</v>
      </c>
      <c r="Z84" s="29">
        <f>+X84+4-3</f>
        <v>27</v>
      </c>
      <c r="AA84" s="30">
        <f>+Y84+21+21+36+36+15+21-20-20-86-20-20-20</f>
        <v>1221</v>
      </c>
      <c r="AB84" s="29">
        <f>+Z84+2</f>
        <v>29</v>
      </c>
      <c r="AC84" s="30">
        <f>+AA84+63+31</f>
        <v>1315</v>
      </c>
      <c r="AD84" s="29">
        <f>+AB84+3</f>
        <v>32</v>
      </c>
      <c r="AE84" s="30">
        <f>+AC84+46+10+22+7+32</f>
        <v>1432</v>
      </c>
      <c r="AF84" s="29">
        <f>+AD84+2</f>
        <v>34</v>
      </c>
      <c r="AG84" s="30">
        <f>+AE84+77+37</f>
        <v>1546</v>
      </c>
      <c r="AH84" s="29">
        <f>+AF84+0</f>
        <v>34</v>
      </c>
      <c r="AI84" s="30">
        <f>+AG84+0</f>
        <v>1546</v>
      </c>
      <c r="AJ84" s="29">
        <f>+AH84+1-1</f>
        <v>34</v>
      </c>
      <c r="AK84" s="30">
        <f>+AI84+14+38-28</f>
        <v>1570</v>
      </c>
      <c r="AL84" s="29">
        <f>+AJ84+2-1</f>
        <v>35</v>
      </c>
      <c r="AM84" s="30">
        <f>+AK84+31+42+17-32-24</f>
        <v>1604</v>
      </c>
      <c r="AN84" s="95">
        <f>+AL84+1</f>
        <v>36</v>
      </c>
      <c r="AO84" s="96">
        <f>+AM84+30</f>
        <v>1634</v>
      </c>
    </row>
    <row r="85" spans="1:41" x14ac:dyDescent="0.25">
      <c r="A85" s="67"/>
      <c r="B85" s="1" t="s">
        <v>70</v>
      </c>
      <c r="C85" s="1">
        <v>16</v>
      </c>
      <c r="D85" s="13">
        <f t="shared" si="97"/>
        <v>7.8817733990147777E-3</v>
      </c>
      <c r="E85" s="1">
        <f>34+14+27+29+72+27+18+58+34+34+72+21+15+30+52+60+83+73+74+33</f>
        <v>860</v>
      </c>
      <c r="F85" s="13">
        <f t="shared" si="103"/>
        <v>8.8923815038464728E-3</v>
      </c>
      <c r="G85" s="16">
        <f t="shared" si="102"/>
        <v>53.75</v>
      </c>
      <c r="H85" s="2">
        <v>12</v>
      </c>
      <c r="I85" s="9"/>
      <c r="J85" s="1">
        <v>4</v>
      </c>
      <c r="K85" s="1"/>
      <c r="L85" s="1"/>
      <c r="M85" s="1"/>
      <c r="N85" s="29">
        <v>3</v>
      </c>
      <c r="O85" s="30">
        <f>34+14+27+29</f>
        <v>104</v>
      </c>
      <c r="P85" s="29">
        <f>+N85+0</f>
        <v>3</v>
      </c>
      <c r="Q85" s="30">
        <f>+O85+0</f>
        <v>104</v>
      </c>
      <c r="R85" s="29">
        <f>+P85+0</f>
        <v>3</v>
      </c>
      <c r="S85" s="30">
        <f>+Q85+0</f>
        <v>104</v>
      </c>
      <c r="T85" s="29">
        <f>+R85+1</f>
        <v>4</v>
      </c>
      <c r="U85" s="30">
        <f>+S85+72</f>
        <v>176</v>
      </c>
      <c r="V85" s="29">
        <f>+T85+2</f>
        <v>6</v>
      </c>
      <c r="W85" s="30">
        <f>+U85+27+18+24</f>
        <v>245</v>
      </c>
      <c r="X85" s="29">
        <f t="shared" si="105"/>
        <v>6</v>
      </c>
      <c r="Y85" s="30">
        <f t="shared" si="105"/>
        <v>245</v>
      </c>
      <c r="Z85" s="29">
        <f>+X85+2</f>
        <v>8</v>
      </c>
      <c r="AA85" s="30">
        <f>+Y85+58+34+34</f>
        <v>371</v>
      </c>
      <c r="AB85" s="29">
        <f>+Z85+4</f>
        <v>12</v>
      </c>
      <c r="AC85" s="30">
        <f>+AA85+72+48+21+15+30</f>
        <v>557</v>
      </c>
      <c r="AD85" s="29">
        <f>+AB85+3</f>
        <v>15</v>
      </c>
      <c r="AE85" s="30">
        <f>+AC85+52+48+67</f>
        <v>724</v>
      </c>
      <c r="AF85" s="29">
        <f>+AD85+2-1</f>
        <v>16</v>
      </c>
      <c r="AG85" s="30">
        <f>+AE85+60+83-67</f>
        <v>800</v>
      </c>
      <c r="AH85" s="29">
        <f>+AF85+1-1</f>
        <v>16</v>
      </c>
      <c r="AI85" s="30">
        <f>+AG85+73-48</f>
        <v>825</v>
      </c>
      <c r="AJ85" s="29">
        <f>+AH85+1</f>
        <v>17</v>
      </c>
      <c r="AK85" s="30">
        <f>+AI85+74</f>
        <v>899</v>
      </c>
      <c r="AL85" s="29">
        <f>+AJ85+1-1</f>
        <v>17</v>
      </c>
      <c r="AM85" s="30">
        <f>+AK85+33-48</f>
        <v>884</v>
      </c>
      <c r="AN85" s="99">
        <f>+AL85+0-1</f>
        <v>16</v>
      </c>
      <c r="AO85" s="100">
        <f>+AM85+0-24</f>
        <v>860</v>
      </c>
    </row>
    <row r="86" spans="1:41" x14ac:dyDescent="0.25">
      <c r="A86" s="67"/>
      <c r="B86" s="1" t="s">
        <v>71</v>
      </c>
      <c r="C86" s="1">
        <v>41</v>
      </c>
      <c r="D86" s="13">
        <f t="shared" si="97"/>
        <v>2.0197044334975371E-2</v>
      </c>
      <c r="E86" s="1">
        <f>29+29+16+17+22+19+38+24+18+18+40+17+13+32+29+33+11+17+37+27+31+21+24+51+16+11+9+16+16+26+19+27+15+27+29+75+31+31+61+24+25+15+17+32+50+12+5+5+5+29+19+16+16+18</f>
        <v>1310</v>
      </c>
      <c r="F86" s="13">
        <f t="shared" si="103"/>
        <v>1.3545371825626602E-2</v>
      </c>
      <c r="G86" s="16">
        <f t="shared" si="102"/>
        <v>31.951219512195124</v>
      </c>
      <c r="H86" s="2">
        <v>29</v>
      </c>
      <c r="I86" s="9"/>
      <c r="J86" s="1">
        <v>12</v>
      </c>
      <c r="K86" s="1"/>
      <c r="L86" s="1"/>
      <c r="M86" s="1"/>
      <c r="N86" s="29">
        <f>6</f>
        <v>6</v>
      </c>
      <c r="O86" s="30">
        <f>29+29+16+17+22+19+10+10+6+38+24+15</f>
        <v>235</v>
      </c>
      <c r="P86" s="29">
        <f>+N86+1</f>
        <v>7</v>
      </c>
      <c r="Q86" s="30">
        <f>+O86+18+18</f>
        <v>271</v>
      </c>
      <c r="R86" s="29">
        <f>+P86+3</f>
        <v>10</v>
      </c>
      <c r="S86" s="30">
        <f>+Q86+40+17+13+32</f>
        <v>373</v>
      </c>
      <c r="T86" s="29">
        <f>+R86+3-1</f>
        <v>12</v>
      </c>
      <c r="U86" s="30">
        <f>+S86+29+33+11-10-10-6</f>
        <v>420</v>
      </c>
      <c r="V86" s="29">
        <f>+T86+6</f>
        <v>18</v>
      </c>
      <c r="W86" s="30">
        <f>+U86+17+37+27+31+21+24</f>
        <v>577</v>
      </c>
      <c r="X86" s="29">
        <f t="shared" si="105"/>
        <v>18</v>
      </c>
      <c r="Y86" s="30">
        <f t="shared" si="105"/>
        <v>577</v>
      </c>
      <c r="Z86" s="29">
        <f>+X86+12</f>
        <v>30</v>
      </c>
      <c r="AA86" s="30">
        <f>+Y86+51+16+11+9+16+16+26+19+27+15+27+29+75+31+31+61</f>
        <v>1037</v>
      </c>
      <c r="AB86" s="29">
        <f>+Z86+2</f>
        <v>32</v>
      </c>
      <c r="AC86" s="30">
        <f>+AA86+24+25</f>
        <v>1086</v>
      </c>
      <c r="AD86" s="29">
        <f>+AB86+7</f>
        <v>39</v>
      </c>
      <c r="AE86" s="30">
        <f>+AC86+15+17+32+50+12+5+5+5+29</f>
        <v>1256</v>
      </c>
      <c r="AF86" s="29">
        <f>+AD86+0</f>
        <v>39</v>
      </c>
      <c r="AG86" s="30">
        <f>+AE86+19-15</f>
        <v>1260</v>
      </c>
      <c r="AH86" s="29">
        <f>+AF86+0</f>
        <v>39</v>
      </c>
      <c r="AI86" s="30">
        <f>+AG86+0</f>
        <v>1260</v>
      </c>
      <c r="AJ86" s="29">
        <f>+AH86+1</f>
        <v>40</v>
      </c>
      <c r="AK86" s="30">
        <f>+AI86+16+16</f>
        <v>1292</v>
      </c>
      <c r="AL86" s="29">
        <f t="shared" ref="AL86:AM88" si="106">+AJ86+0</f>
        <v>40</v>
      </c>
      <c r="AM86" s="30">
        <f t="shared" si="106"/>
        <v>1292</v>
      </c>
      <c r="AN86" s="99">
        <f>+AL86+1</f>
        <v>41</v>
      </c>
      <c r="AO86" s="100">
        <f>+AM86+18</f>
        <v>1310</v>
      </c>
    </row>
    <row r="87" spans="1:41" x14ac:dyDescent="0.25">
      <c r="A87" s="67"/>
      <c r="B87" s="1" t="s">
        <v>72</v>
      </c>
      <c r="C87" s="1">
        <v>6</v>
      </c>
      <c r="D87" s="13">
        <f t="shared" si="97"/>
        <v>2.9556650246305421E-3</v>
      </c>
      <c r="E87" s="1">
        <f>10+11+11+11+11+50+28+15+15+15+15+10+7+10</f>
        <v>219</v>
      </c>
      <c r="F87" s="13">
        <f t="shared" si="103"/>
        <v>2.2644552899329967E-3</v>
      </c>
      <c r="G87" s="16">
        <f t="shared" si="102"/>
        <v>36.5</v>
      </c>
      <c r="H87" s="2">
        <v>2</v>
      </c>
      <c r="I87" s="9"/>
      <c r="J87" s="1">
        <v>4</v>
      </c>
      <c r="K87" s="1"/>
      <c r="L87" s="1"/>
      <c r="M87" s="1"/>
      <c r="N87" s="29">
        <v>3</v>
      </c>
      <c r="O87" s="30">
        <f>10+11+11+11+11+19+19+50</f>
        <v>142</v>
      </c>
      <c r="P87" s="29">
        <f t="shared" ref="P87:S88" si="107">+N87+0</f>
        <v>3</v>
      </c>
      <c r="Q87" s="30">
        <f t="shared" si="107"/>
        <v>142</v>
      </c>
      <c r="R87" s="29">
        <f t="shared" si="107"/>
        <v>3</v>
      </c>
      <c r="S87" s="30">
        <f t="shared" si="107"/>
        <v>142</v>
      </c>
      <c r="T87" s="29">
        <f>+R87+1</f>
        <v>4</v>
      </c>
      <c r="U87" s="30">
        <f>+S87+28</f>
        <v>170</v>
      </c>
      <c r="V87" s="29">
        <f>+T87+2</f>
        <v>6</v>
      </c>
      <c r="W87" s="30">
        <f>+U87+15+15+15+15</f>
        <v>230</v>
      </c>
      <c r="X87" s="29">
        <f>+V87+1</f>
        <v>7</v>
      </c>
      <c r="Y87" s="30">
        <f>+W87+10+7+10</f>
        <v>257</v>
      </c>
      <c r="Z87" s="29">
        <f t="shared" ref="Z87:AE87" si="108">+X87+0</f>
        <v>7</v>
      </c>
      <c r="AA87" s="30">
        <f t="shared" si="108"/>
        <v>257</v>
      </c>
      <c r="AB87" s="29">
        <f t="shared" si="108"/>
        <v>7</v>
      </c>
      <c r="AC87" s="30">
        <f t="shared" si="108"/>
        <v>257</v>
      </c>
      <c r="AD87" s="29">
        <f t="shared" si="108"/>
        <v>7</v>
      </c>
      <c r="AE87" s="30">
        <f t="shared" si="108"/>
        <v>257</v>
      </c>
      <c r="AF87" s="29">
        <f>+AD87+0</f>
        <v>7</v>
      </c>
      <c r="AG87" s="30">
        <f>+AE87+0</f>
        <v>257</v>
      </c>
      <c r="AH87" s="29">
        <f>+AF87+0</f>
        <v>7</v>
      </c>
      <c r="AI87" s="30">
        <f>+AG87+0</f>
        <v>257</v>
      </c>
      <c r="AJ87" s="29">
        <f>+AH87+0-1</f>
        <v>6</v>
      </c>
      <c r="AK87" s="30">
        <f>+AI87+0-19-19</f>
        <v>219</v>
      </c>
      <c r="AL87" s="29">
        <f t="shared" si="106"/>
        <v>6</v>
      </c>
      <c r="AM87" s="30">
        <f t="shared" si="106"/>
        <v>219</v>
      </c>
      <c r="AN87" s="99">
        <f>+AL87+0</f>
        <v>6</v>
      </c>
      <c r="AO87" s="100">
        <f>+AM87+0</f>
        <v>219</v>
      </c>
    </row>
    <row r="88" spans="1:41" x14ac:dyDescent="0.25">
      <c r="A88" s="67"/>
      <c r="B88" s="1" t="s">
        <v>75</v>
      </c>
      <c r="C88" s="1">
        <v>1</v>
      </c>
      <c r="D88" s="13">
        <f t="shared" si="97"/>
        <v>4.9261083743842361E-4</v>
      </c>
      <c r="E88" s="1">
        <v>19</v>
      </c>
      <c r="F88" s="13">
        <f t="shared" si="103"/>
        <v>1.9645959136404997E-4</v>
      </c>
      <c r="G88" s="16">
        <f t="shared" si="102"/>
        <v>19</v>
      </c>
      <c r="H88" s="2">
        <v>1</v>
      </c>
      <c r="I88" s="9"/>
      <c r="J88" s="1"/>
      <c r="K88" s="1"/>
      <c r="L88" s="1"/>
      <c r="M88" s="1"/>
      <c r="N88" s="29">
        <v>1</v>
      </c>
      <c r="O88" s="30">
        <v>19</v>
      </c>
      <c r="P88" s="29">
        <f t="shared" si="107"/>
        <v>1</v>
      </c>
      <c r="Q88" s="30">
        <f t="shared" si="107"/>
        <v>19</v>
      </c>
      <c r="R88" s="29">
        <f t="shared" si="107"/>
        <v>1</v>
      </c>
      <c r="S88" s="30">
        <f t="shared" si="107"/>
        <v>19</v>
      </c>
      <c r="T88" s="29">
        <f t="shared" ref="T88:AA88" si="109">+R88+0</f>
        <v>1</v>
      </c>
      <c r="U88" s="30">
        <f t="shared" si="109"/>
        <v>19</v>
      </c>
      <c r="V88" s="29">
        <f t="shared" si="109"/>
        <v>1</v>
      </c>
      <c r="W88" s="30">
        <f t="shared" si="109"/>
        <v>19</v>
      </c>
      <c r="X88" s="29">
        <f t="shared" si="109"/>
        <v>1</v>
      </c>
      <c r="Y88" s="30">
        <f t="shared" si="109"/>
        <v>19</v>
      </c>
      <c r="Z88" s="29">
        <f t="shared" si="109"/>
        <v>1</v>
      </c>
      <c r="AA88" s="30">
        <f t="shared" si="109"/>
        <v>19</v>
      </c>
      <c r="AB88" s="29">
        <f t="shared" ref="AB88:AI88" si="110">+Z88+0</f>
        <v>1</v>
      </c>
      <c r="AC88" s="30">
        <f t="shared" si="110"/>
        <v>19</v>
      </c>
      <c r="AD88" s="29">
        <f t="shared" si="110"/>
        <v>1</v>
      </c>
      <c r="AE88" s="30">
        <f t="shared" si="110"/>
        <v>19</v>
      </c>
      <c r="AF88" s="29">
        <f t="shared" si="110"/>
        <v>1</v>
      </c>
      <c r="AG88" s="30">
        <f t="shared" si="110"/>
        <v>19</v>
      </c>
      <c r="AH88" s="29">
        <f t="shared" si="110"/>
        <v>1</v>
      </c>
      <c r="AI88" s="30">
        <f t="shared" si="110"/>
        <v>19</v>
      </c>
      <c r="AJ88" s="29">
        <f>+AH88+0</f>
        <v>1</v>
      </c>
      <c r="AK88" s="30">
        <f>+AI88+0</f>
        <v>19</v>
      </c>
      <c r="AL88" s="29">
        <f t="shared" si="106"/>
        <v>1</v>
      </c>
      <c r="AM88" s="30">
        <f t="shared" si="106"/>
        <v>19</v>
      </c>
      <c r="AN88" s="99">
        <f>+AL88+0</f>
        <v>1</v>
      </c>
      <c r="AO88" s="100">
        <f>+AM88+0</f>
        <v>19</v>
      </c>
    </row>
    <row r="89" spans="1:41" x14ac:dyDescent="0.25">
      <c r="A89" s="67"/>
      <c r="B89" s="3" t="s">
        <v>76</v>
      </c>
      <c r="C89" s="3">
        <v>76</v>
      </c>
      <c r="D89" s="13">
        <f t="shared" si="97"/>
        <v>3.7438423645320199E-2</v>
      </c>
      <c r="E89" s="3">
        <f>44+44+18+18+42+18+18+116+30+56+29+44+27+74+59+71+67+70+92+41+32+42+64+19+19+14+28+18+31+43+43+72+44+29+53+26+81+19+3+2+2+2+60+38+9+9+9+28+79+11+11+7+48+14+63+79+70+72+6+50+37+72+37+41+34+50+48+52+26+53+24+24+40+55+38+39+71+60+50+17+81+62+20+90+32+74+42+32+32+34+26+74+9</f>
        <v>3803</v>
      </c>
      <c r="F89" s="13">
        <f t="shared" si="103"/>
        <v>3.9322938208288527E-2</v>
      </c>
      <c r="G89" s="16">
        <f t="shared" si="102"/>
        <v>50.039473684210527</v>
      </c>
      <c r="H89" s="2">
        <v>61</v>
      </c>
      <c r="I89" s="9"/>
      <c r="J89" s="1">
        <v>13</v>
      </c>
      <c r="K89" s="1"/>
      <c r="L89" s="1">
        <v>2</v>
      </c>
      <c r="M89" s="1"/>
      <c r="N89" s="29">
        <v>5</v>
      </c>
      <c r="O89" s="30">
        <f>44+44+18+18+42+18+18+116</f>
        <v>318</v>
      </c>
      <c r="P89" s="29">
        <f>+N89+3</f>
        <v>8</v>
      </c>
      <c r="Q89" s="30">
        <f>+O89+30+30+56</f>
        <v>434</v>
      </c>
      <c r="R89" s="29">
        <f t="shared" ref="R89:S91" si="111">+P89+0</f>
        <v>8</v>
      </c>
      <c r="S89" s="30">
        <f t="shared" si="111"/>
        <v>434</v>
      </c>
      <c r="T89" s="29">
        <f>+R89+17</f>
        <v>25</v>
      </c>
      <c r="U89" s="30">
        <f>+S89+29+44+27+74+59+71+67+70+92+41+32+42+64+19+19+14+28+18+31</f>
        <v>1275</v>
      </c>
      <c r="V89" s="29">
        <f>+T89+1</f>
        <v>26</v>
      </c>
      <c r="W89" s="30">
        <f>+U89+43+43</f>
        <v>1361</v>
      </c>
      <c r="X89" s="29">
        <f>+V89+4</f>
        <v>30</v>
      </c>
      <c r="Y89" s="30">
        <f>+W89+72+44+29+53+26+81</f>
        <v>1666</v>
      </c>
      <c r="Z89" s="29">
        <f>+X89+11</f>
        <v>41</v>
      </c>
      <c r="AA89" s="30">
        <f>+Y89+19+3+2+2+2+60+38+9+9+9+28+79+11+11+7+48+14+18+63</f>
        <v>2098</v>
      </c>
      <c r="AB89" s="29">
        <f>+Z89+7</f>
        <v>48</v>
      </c>
      <c r="AC89" s="30">
        <f>+AA89+79+70+72+6+50+37+32+72</f>
        <v>2516</v>
      </c>
      <c r="AD89" s="29">
        <f>+AB89+16</f>
        <v>64</v>
      </c>
      <c r="AE89" s="30">
        <f>+AC89+37+41+34+50+48+52+26+53+24+24+40+55+38+39+71+60+50</f>
        <v>3258</v>
      </c>
      <c r="AF89" s="29">
        <f>+AD89+5</f>
        <v>69</v>
      </c>
      <c r="AG89" s="30">
        <f>+AE89+17+81+62+20+90</f>
        <v>3528</v>
      </c>
      <c r="AH89" s="29">
        <f>+AF89+2-1</f>
        <v>70</v>
      </c>
      <c r="AI89" s="30">
        <f>+AG89+32+74-30-32</f>
        <v>3572</v>
      </c>
      <c r="AJ89" s="29">
        <f>+AH89+3</f>
        <v>73</v>
      </c>
      <c r="AK89" s="30">
        <f>+AI89+42+32+32+34</f>
        <v>3712</v>
      </c>
      <c r="AL89" s="29">
        <f>+AJ89+1</f>
        <v>74</v>
      </c>
      <c r="AM89" s="30">
        <f>+AK89+26-18</f>
        <v>3720</v>
      </c>
      <c r="AN89" s="99">
        <f>+AL89+2</f>
        <v>76</v>
      </c>
      <c r="AO89" s="100">
        <f>+AM89+74+9</f>
        <v>3803</v>
      </c>
    </row>
    <row r="90" spans="1:41" x14ac:dyDescent="0.25">
      <c r="A90" s="67"/>
      <c r="B90" s="1" t="s">
        <v>77</v>
      </c>
      <c r="C90" s="1">
        <v>33</v>
      </c>
      <c r="D90" s="13">
        <f t="shared" si="97"/>
        <v>1.6256157635467981E-2</v>
      </c>
      <c r="E90" s="1">
        <f>40+32+28+2+39+26+65+28+10+5+85+81+57+99+32+16+22+21+31+33+34+55+47+37+74+68+10+13+13+40+103+25+16+25+28+34+34+44+50+19+2+26+33+4+12+12+57</f>
        <v>1667</v>
      </c>
      <c r="F90" s="13">
        <f t="shared" si="103"/>
        <v>1.7236744147572172E-2</v>
      </c>
      <c r="G90" s="16">
        <f t="shared" si="102"/>
        <v>50.515151515151516</v>
      </c>
      <c r="H90" s="2">
        <v>22</v>
      </c>
      <c r="I90" s="9"/>
      <c r="J90" s="1">
        <v>9</v>
      </c>
      <c r="K90" s="1"/>
      <c r="L90" s="1">
        <v>2</v>
      </c>
      <c r="M90" s="1"/>
      <c r="N90" s="29">
        <v>2</v>
      </c>
      <c r="O90" s="30">
        <f>38+14+40+32</f>
        <v>124</v>
      </c>
      <c r="P90" s="29">
        <f>+N90+0</f>
        <v>2</v>
      </c>
      <c r="Q90" s="30">
        <f>+O90+0</f>
        <v>124</v>
      </c>
      <c r="R90" s="29">
        <f t="shared" si="111"/>
        <v>2</v>
      </c>
      <c r="S90" s="30">
        <f t="shared" si="111"/>
        <v>124</v>
      </c>
      <c r="T90" s="29">
        <f>+R90+11</f>
        <v>13</v>
      </c>
      <c r="U90" s="30">
        <f>+S90+28+2+39+26+65+28+10+5+85+81+57+99+32+16+22</f>
        <v>719</v>
      </c>
      <c r="V90" s="29">
        <f>+T90+1</f>
        <v>14</v>
      </c>
      <c r="W90" s="30">
        <f>+U90+21+31</f>
        <v>771</v>
      </c>
      <c r="X90" s="29">
        <f>+V90+2</f>
        <v>16</v>
      </c>
      <c r="Y90" s="30">
        <f>+W90+33+34</f>
        <v>838</v>
      </c>
      <c r="Z90" s="29">
        <f>+X90+2</f>
        <v>18</v>
      </c>
      <c r="AA90" s="30">
        <f>+Y90+55+47+37</f>
        <v>977</v>
      </c>
      <c r="AB90" s="29">
        <f>+Z90+0</f>
        <v>18</v>
      </c>
      <c r="AC90" s="30">
        <f>+AA90+0</f>
        <v>977</v>
      </c>
      <c r="AD90" s="29">
        <f>+AB90+8</f>
        <v>26</v>
      </c>
      <c r="AE90" s="30">
        <f>+AC90+74+68+10+13+13+40+103+25+16+25</f>
        <v>1364</v>
      </c>
      <c r="AF90" s="29">
        <f>+AD90+2</f>
        <v>28</v>
      </c>
      <c r="AG90" s="30">
        <f>+AE90+48+34</f>
        <v>1446</v>
      </c>
      <c r="AH90" s="29">
        <f>+AF90+2</f>
        <v>30</v>
      </c>
      <c r="AI90" s="30">
        <f>+AG90+34+44</f>
        <v>1524</v>
      </c>
      <c r="AJ90" s="29">
        <f>+AH90+0</f>
        <v>30</v>
      </c>
      <c r="AK90" s="30">
        <f>+AI90+50+19-38-14</f>
        <v>1541</v>
      </c>
      <c r="AL90" s="29">
        <f>+AJ90+2</f>
        <v>32</v>
      </c>
      <c r="AM90" s="30">
        <f>+AK90+2+26+33+4+12-20</f>
        <v>1598</v>
      </c>
      <c r="AN90" s="99">
        <f>+AL90+1</f>
        <v>33</v>
      </c>
      <c r="AO90" s="100">
        <f>+AM90+12+57</f>
        <v>1667</v>
      </c>
    </row>
    <row r="91" spans="1:41" x14ac:dyDescent="0.25">
      <c r="A91" s="67"/>
      <c r="B91" s="1" t="s">
        <v>78</v>
      </c>
      <c r="C91" s="1">
        <v>20</v>
      </c>
      <c r="D91" s="13">
        <f t="shared" si="97"/>
        <v>9.852216748768473E-3</v>
      </c>
      <c r="E91" s="1">
        <f>23+80+27+27+53+55+14+56+45+42+32+26+23+45+23+23+41+41+58+35+10+44</f>
        <v>823</v>
      </c>
      <c r="F91" s="13">
        <f t="shared" si="103"/>
        <v>8.5098022996112164E-3</v>
      </c>
      <c r="G91" s="16">
        <f t="shared" si="102"/>
        <v>41.15</v>
      </c>
      <c r="H91" s="2">
        <v>18</v>
      </c>
      <c r="I91" s="9"/>
      <c r="J91" s="1">
        <v>2</v>
      </c>
      <c r="K91" s="1"/>
      <c r="L91" s="1"/>
      <c r="M91" s="1"/>
      <c r="N91" s="29">
        <v>2</v>
      </c>
      <c r="O91" s="30">
        <f>23+80</f>
        <v>103</v>
      </c>
      <c r="P91" s="29">
        <f>+N91+0</f>
        <v>2</v>
      </c>
      <c r="Q91" s="30">
        <f>+O91+0</f>
        <v>103</v>
      </c>
      <c r="R91" s="29">
        <f t="shared" si="111"/>
        <v>2</v>
      </c>
      <c r="S91" s="30">
        <f t="shared" si="111"/>
        <v>103</v>
      </c>
      <c r="T91" s="29">
        <f>+R91+5</f>
        <v>7</v>
      </c>
      <c r="U91" s="30">
        <f>+S91+27+27+53+55+14+56</f>
        <v>335</v>
      </c>
      <c r="V91" s="29">
        <f>+T91+0</f>
        <v>7</v>
      </c>
      <c r="W91" s="30">
        <f>+U91+0</f>
        <v>335</v>
      </c>
      <c r="X91" s="29">
        <f>+V91+1</f>
        <v>8</v>
      </c>
      <c r="Y91" s="30">
        <f>+W91+87</f>
        <v>422</v>
      </c>
      <c r="Z91" s="29">
        <f>+X91+7</f>
        <v>15</v>
      </c>
      <c r="AA91" s="30">
        <f>+Y91+45+42+32+26+23+45+23+88</f>
        <v>746</v>
      </c>
      <c r="AB91" s="29">
        <f>+Z91+1</f>
        <v>16</v>
      </c>
      <c r="AC91" s="30">
        <f>+AA91+23</f>
        <v>769</v>
      </c>
      <c r="AD91" s="29">
        <f>+AB91+3</f>
        <v>19</v>
      </c>
      <c r="AE91" s="30">
        <f>+AC91+41+41+58</f>
        <v>909</v>
      </c>
      <c r="AF91" s="29">
        <f>+AD91+0</f>
        <v>19</v>
      </c>
      <c r="AG91" s="30">
        <f>+AE91+0</f>
        <v>909</v>
      </c>
      <c r="AH91" s="29">
        <f>+AF91+1</f>
        <v>20</v>
      </c>
      <c r="AI91" s="30">
        <f>+AG91+35</f>
        <v>944</v>
      </c>
      <c r="AJ91" s="29">
        <f>+AH91+1</f>
        <v>21</v>
      </c>
      <c r="AK91" s="30">
        <f>+AI91+10</f>
        <v>954</v>
      </c>
      <c r="AL91" s="29">
        <f>+AJ91+0</f>
        <v>21</v>
      </c>
      <c r="AM91" s="30">
        <f>+AK91+0</f>
        <v>954</v>
      </c>
      <c r="AN91" s="99">
        <f>+AL91+1-2</f>
        <v>20</v>
      </c>
      <c r="AO91" s="100">
        <f>+AM91+44-87-88</f>
        <v>823</v>
      </c>
    </row>
    <row r="92" spans="1:41" x14ac:dyDescent="0.25">
      <c r="A92" s="68"/>
      <c r="B92" s="1" t="s">
        <v>82</v>
      </c>
      <c r="C92" s="35">
        <v>59</v>
      </c>
      <c r="D92" s="13">
        <f t="shared" si="97"/>
        <v>2.9064039408866996E-2</v>
      </c>
      <c r="E92" s="35">
        <f>18+18+18+18+34+40+40+22+22+14+22+8+66+70+70+45+42+28+22+39+10+19+7+19+40+89+24+24+11+22+22+16+70+44+70+16+16+46+46+17+64+29+29+16+15+17+15+24+62+56+37+7+9+27+25+17+17+4+4+5+23+20+17+41+14+16+25+16+11+31+21+19+11+26+21+22+55+15+14+15+15+47+36+23+6</f>
        <v>2323</v>
      </c>
      <c r="F92" s="13">
        <f t="shared" si="103"/>
        <v>2.401977003887832E-2</v>
      </c>
      <c r="G92" s="16">
        <f t="shared" si="102"/>
        <v>39.372881355932201</v>
      </c>
      <c r="H92" s="34">
        <v>42</v>
      </c>
      <c r="I92" s="33"/>
      <c r="J92" s="1">
        <v>17</v>
      </c>
      <c r="K92" s="1"/>
      <c r="L92" s="1"/>
      <c r="M92" s="1"/>
      <c r="N92" s="29">
        <f>33+1</f>
        <v>34</v>
      </c>
      <c r="O92" s="30">
        <f>18+18+18+18+34+40+40+22+22+14+22+8+66+70+70+25+45+42+28+22+39+10+19+7+19+40+89+24+11+22+22+16+70+44+70+16+16+46+46+17+64+29+29+16+15+17+15+24+24+62+56+37</f>
        <v>1673</v>
      </c>
      <c r="P92" s="29">
        <f>+N92+1</f>
        <v>35</v>
      </c>
      <c r="Q92" s="30">
        <f>+O92+7+9</f>
        <v>1689</v>
      </c>
      <c r="R92" s="29">
        <f>+P92+2</f>
        <v>37</v>
      </c>
      <c r="S92" s="30">
        <f>+Q92+27+25</f>
        <v>1741</v>
      </c>
      <c r="T92" s="29">
        <f>+R92+4</f>
        <v>41</v>
      </c>
      <c r="U92" s="30">
        <f>+S92+17+17+4+4+5+23+20+17</f>
        <v>1848</v>
      </c>
      <c r="V92" s="29">
        <f>+T92+2</f>
        <v>43</v>
      </c>
      <c r="W92" s="30">
        <f>+U92+41+14</f>
        <v>1903</v>
      </c>
      <c r="X92" s="29">
        <f>+V92+0</f>
        <v>43</v>
      </c>
      <c r="Y92" s="30">
        <f>+W92+0</f>
        <v>1903</v>
      </c>
      <c r="Z92" s="29">
        <f>+X92+8</f>
        <v>51</v>
      </c>
      <c r="AA92" s="30">
        <f>+Y92+16+25+16+11+31+21+19+11+26+21</f>
        <v>2100</v>
      </c>
      <c r="AB92" s="29">
        <f>+Z92+1</f>
        <v>52</v>
      </c>
      <c r="AC92" s="30">
        <f>+AA92+22</f>
        <v>2122</v>
      </c>
      <c r="AD92" s="29">
        <f>+AB92+5</f>
        <v>57</v>
      </c>
      <c r="AE92" s="30">
        <f>+AC92+55+15+14+15+15+47</f>
        <v>2283</v>
      </c>
      <c r="AF92" s="29">
        <f>+AD92+0</f>
        <v>57</v>
      </c>
      <c r="AG92" s="30">
        <f>+AE92+11+7+9</f>
        <v>2310</v>
      </c>
      <c r="AH92" s="29">
        <f>+AF92+0</f>
        <v>57</v>
      </c>
      <c r="AI92" s="30">
        <f>+AG92+0-25</f>
        <v>2285</v>
      </c>
      <c r="AJ92" s="29">
        <f>+AH92+2</f>
        <v>59</v>
      </c>
      <c r="AK92" s="30">
        <f>+AI92+36+23+6-11-7-9</f>
        <v>2323</v>
      </c>
      <c r="AL92" s="31">
        <f>+AJ92+0</f>
        <v>59</v>
      </c>
      <c r="AM92" s="32">
        <f>+AK92+0</f>
        <v>2323</v>
      </c>
      <c r="AN92" s="95">
        <f>+AL92+0</f>
        <v>59</v>
      </c>
      <c r="AO92" s="96">
        <f>+AM92+0</f>
        <v>2323</v>
      </c>
    </row>
    <row r="93" spans="1:41" x14ac:dyDescent="0.25">
      <c r="A93" s="73" t="s">
        <v>162</v>
      </c>
      <c r="B93" s="74"/>
      <c r="C93" s="21">
        <f>SUM(C80:C92)</f>
        <v>463</v>
      </c>
      <c r="D93" s="14">
        <f t="shared" si="97"/>
        <v>0.22807881773399014</v>
      </c>
      <c r="E93" s="21">
        <f>SUM(E80:E92)</f>
        <v>20452</v>
      </c>
      <c r="F93" s="14">
        <f t="shared" si="103"/>
        <v>0.21147324013566052</v>
      </c>
      <c r="G93" s="17">
        <f>IF(C93=0,"",E93/C93)</f>
        <v>44.172786177105834</v>
      </c>
      <c r="H93" s="18">
        <f>SUM(H80:H92)</f>
        <v>329</v>
      </c>
      <c r="I93" s="63">
        <f>+H93/$C$93</f>
        <v>0.71058315334773214</v>
      </c>
      <c r="J93" s="21">
        <f>SUM(J80:J92)</f>
        <v>125</v>
      </c>
      <c r="K93" s="63">
        <f>+J93/$C$93</f>
        <v>0.26997840172786175</v>
      </c>
      <c r="L93" s="21">
        <f>SUM(L80:L92)</f>
        <v>9</v>
      </c>
      <c r="M93" s="63">
        <f>+L93/$C$93</f>
        <v>1.9438444924406047E-2</v>
      </c>
      <c r="N93" s="24">
        <f t="shared" ref="N93:AO93" si="112">SUM(N80:N92)</f>
        <v>107</v>
      </c>
      <c r="O93" s="27">
        <f t="shared" si="112"/>
        <v>5618</v>
      </c>
      <c r="P93" s="24">
        <f t="shared" si="112"/>
        <v>115</v>
      </c>
      <c r="Q93" s="27">
        <f t="shared" si="112"/>
        <v>5984</v>
      </c>
      <c r="R93" s="24">
        <f t="shared" si="112"/>
        <v>127</v>
      </c>
      <c r="S93" s="27">
        <f t="shared" si="112"/>
        <v>6466</v>
      </c>
      <c r="T93" s="24">
        <f t="shared" si="112"/>
        <v>187</v>
      </c>
      <c r="U93" s="27">
        <f t="shared" si="112"/>
        <v>9536</v>
      </c>
      <c r="V93" s="24">
        <f t="shared" si="112"/>
        <v>210</v>
      </c>
      <c r="W93" s="27">
        <f t="shared" si="112"/>
        <v>10122</v>
      </c>
      <c r="X93" s="24">
        <f t="shared" si="112"/>
        <v>229</v>
      </c>
      <c r="Y93" s="27">
        <f t="shared" si="112"/>
        <v>11181</v>
      </c>
      <c r="Z93" s="24">
        <f t="shared" si="112"/>
        <v>298</v>
      </c>
      <c r="AA93" s="27">
        <f t="shared" si="112"/>
        <v>13988</v>
      </c>
      <c r="AB93" s="24">
        <f t="shared" si="112"/>
        <v>327</v>
      </c>
      <c r="AC93" s="27">
        <f t="shared" si="112"/>
        <v>15195</v>
      </c>
      <c r="AD93" s="24">
        <f t="shared" si="112"/>
        <v>394</v>
      </c>
      <c r="AE93" s="27">
        <f t="shared" si="112"/>
        <v>17783</v>
      </c>
      <c r="AF93" s="24">
        <f t="shared" si="112"/>
        <v>414</v>
      </c>
      <c r="AG93" s="27">
        <f t="shared" si="112"/>
        <v>18656</v>
      </c>
      <c r="AH93" s="24">
        <f t="shared" si="112"/>
        <v>430</v>
      </c>
      <c r="AI93" s="27">
        <f t="shared" si="112"/>
        <v>19308</v>
      </c>
      <c r="AJ93" s="24">
        <f t="shared" si="112"/>
        <v>448</v>
      </c>
      <c r="AK93" s="27">
        <f t="shared" si="112"/>
        <v>20065</v>
      </c>
      <c r="AL93" s="24">
        <f t="shared" si="112"/>
        <v>452</v>
      </c>
      <c r="AM93" s="27">
        <f t="shared" si="112"/>
        <v>20206</v>
      </c>
      <c r="AN93" s="24">
        <f t="shared" si="112"/>
        <v>463</v>
      </c>
      <c r="AO93" s="27">
        <f t="shared" si="112"/>
        <v>20452</v>
      </c>
    </row>
    <row r="94" spans="1:41" x14ac:dyDescent="0.25">
      <c r="A94" s="66">
        <v>8</v>
      </c>
      <c r="B94" s="1" t="s">
        <v>150</v>
      </c>
      <c r="C94" s="35">
        <f>(3)</f>
        <v>3</v>
      </c>
      <c r="D94" s="13">
        <f t="shared" si="97"/>
        <v>1.477832512315271E-3</v>
      </c>
      <c r="E94" s="35">
        <f>(73+84+30)</f>
        <v>187</v>
      </c>
      <c r="F94" s="13">
        <f t="shared" si="103"/>
        <v>1.9335759781619654E-3</v>
      </c>
      <c r="G94" s="16">
        <f t="shared" ref="G94:G151" si="113">IF(C94=0,"",E94/C94)</f>
        <v>62.333333333333336</v>
      </c>
      <c r="H94" s="34">
        <f>(3)</f>
        <v>3</v>
      </c>
      <c r="I94" s="33"/>
      <c r="J94" s="1"/>
      <c r="K94" s="1"/>
      <c r="L94" s="1"/>
      <c r="M94" s="1"/>
      <c r="N94" s="29">
        <v>0</v>
      </c>
      <c r="O94" s="30">
        <v>0</v>
      </c>
      <c r="P94" s="29">
        <f t="shared" ref="P94:AK94" si="114">+N94+0</f>
        <v>0</v>
      </c>
      <c r="Q94" s="30">
        <f t="shared" si="114"/>
        <v>0</v>
      </c>
      <c r="R94" s="29">
        <f t="shared" si="114"/>
        <v>0</v>
      </c>
      <c r="S94" s="30">
        <f t="shared" si="114"/>
        <v>0</v>
      </c>
      <c r="T94" s="29">
        <f t="shared" si="114"/>
        <v>0</v>
      </c>
      <c r="U94" s="30">
        <f t="shared" si="114"/>
        <v>0</v>
      </c>
      <c r="V94" s="29">
        <f t="shared" si="114"/>
        <v>0</v>
      </c>
      <c r="W94" s="30">
        <f t="shared" si="114"/>
        <v>0</v>
      </c>
      <c r="X94" s="29">
        <f t="shared" si="114"/>
        <v>0</v>
      </c>
      <c r="Y94" s="30">
        <f t="shared" si="114"/>
        <v>0</v>
      </c>
      <c r="Z94" s="29">
        <f t="shared" si="114"/>
        <v>0</v>
      </c>
      <c r="AA94" s="30">
        <f t="shared" si="114"/>
        <v>0</v>
      </c>
      <c r="AB94" s="29">
        <f t="shared" si="114"/>
        <v>0</v>
      </c>
      <c r="AC94" s="30">
        <f t="shared" si="114"/>
        <v>0</v>
      </c>
      <c r="AD94" s="29">
        <f t="shared" si="114"/>
        <v>0</v>
      </c>
      <c r="AE94" s="30">
        <f t="shared" si="114"/>
        <v>0</v>
      </c>
      <c r="AF94" s="29">
        <f t="shared" si="114"/>
        <v>0</v>
      </c>
      <c r="AG94" s="30">
        <f t="shared" si="114"/>
        <v>0</v>
      </c>
      <c r="AH94" s="29">
        <f t="shared" si="114"/>
        <v>0</v>
      </c>
      <c r="AI94" s="30">
        <f t="shared" si="114"/>
        <v>0</v>
      </c>
      <c r="AJ94" s="29">
        <f t="shared" si="114"/>
        <v>0</v>
      </c>
      <c r="AK94" s="30">
        <f t="shared" si="114"/>
        <v>0</v>
      </c>
      <c r="AL94" s="31">
        <f>+AJ94+(3)</f>
        <v>3</v>
      </c>
      <c r="AM94" s="32">
        <f>+AK94+(73+84+30)</f>
        <v>187</v>
      </c>
      <c r="AN94" s="95">
        <f>+AL94+0</f>
        <v>3</v>
      </c>
      <c r="AO94" s="96">
        <f>+AM94+0</f>
        <v>187</v>
      </c>
    </row>
    <row r="95" spans="1:41" x14ac:dyDescent="0.25">
      <c r="A95" s="67"/>
      <c r="B95" s="1" t="s">
        <v>58</v>
      </c>
      <c r="C95" s="1">
        <v>9</v>
      </c>
      <c r="D95" s="13">
        <f t="shared" si="97"/>
        <v>4.4334975369458131E-3</v>
      </c>
      <c r="E95" s="1">
        <f>34+26+107+35+35+100+96+50+87+31</f>
        <v>601</v>
      </c>
      <c r="F95" s="13">
        <f t="shared" si="103"/>
        <v>6.2143270741996859E-3</v>
      </c>
      <c r="G95" s="16">
        <f t="shared" si="113"/>
        <v>66.777777777777771</v>
      </c>
      <c r="H95" s="2">
        <v>8</v>
      </c>
      <c r="I95" s="9"/>
      <c r="J95" s="1">
        <v>1</v>
      </c>
      <c r="K95" s="1"/>
      <c r="L95" s="1"/>
      <c r="M95" s="1"/>
      <c r="N95" s="29">
        <v>0</v>
      </c>
      <c r="O95" s="30">
        <v>0</v>
      </c>
      <c r="P95" s="29">
        <f t="shared" ref="P95:Q98" si="115">+N95+0</f>
        <v>0</v>
      </c>
      <c r="Q95" s="30">
        <f t="shared" si="115"/>
        <v>0</v>
      </c>
      <c r="R95" s="29">
        <f t="shared" ref="R95:AC96" si="116">+P95+0</f>
        <v>0</v>
      </c>
      <c r="S95" s="30">
        <f t="shared" si="116"/>
        <v>0</v>
      </c>
      <c r="T95" s="29">
        <f t="shared" si="116"/>
        <v>0</v>
      </c>
      <c r="U95" s="30">
        <f t="shared" si="116"/>
        <v>0</v>
      </c>
      <c r="V95" s="29">
        <f t="shared" si="116"/>
        <v>0</v>
      </c>
      <c r="W95" s="30">
        <f t="shared" si="116"/>
        <v>0</v>
      </c>
      <c r="X95" s="29">
        <f t="shared" si="116"/>
        <v>0</v>
      </c>
      <c r="Y95" s="30">
        <f t="shared" si="116"/>
        <v>0</v>
      </c>
      <c r="Z95" s="29">
        <f t="shared" si="116"/>
        <v>0</v>
      </c>
      <c r="AA95" s="30">
        <f t="shared" si="116"/>
        <v>0</v>
      </c>
      <c r="AB95" s="29">
        <f t="shared" si="116"/>
        <v>0</v>
      </c>
      <c r="AC95" s="30">
        <f t="shared" si="116"/>
        <v>0</v>
      </c>
      <c r="AD95" s="29">
        <f>+AB95+2</f>
        <v>2</v>
      </c>
      <c r="AE95" s="30">
        <f>+AC95+34+26</f>
        <v>60</v>
      </c>
      <c r="AF95" s="29">
        <f>+AD95+1</f>
        <v>3</v>
      </c>
      <c r="AG95" s="30">
        <f>+AE95+107</f>
        <v>167</v>
      </c>
      <c r="AH95" s="29">
        <f>+AF95+0</f>
        <v>3</v>
      </c>
      <c r="AI95" s="30">
        <f>+AG95+0</f>
        <v>167</v>
      </c>
      <c r="AJ95" s="29">
        <f>+AH95+3</f>
        <v>6</v>
      </c>
      <c r="AK95" s="30">
        <f>+AI95+35+35+100+96</f>
        <v>433</v>
      </c>
      <c r="AL95" s="29">
        <f>+AJ95+0</f>
        <v>6</v>
      </c>
      <c r="AM95" s="30">
        <f t="shared" ref="AM95:AM107" si="117">+AK95+0</f>
        <v>433</v>
      </c>
      <c r="AN95" s="99">
        <f>+AL95+3</f>
        <v>9</v>
      </c>
      <c r="AO95" s="100">
        <f>+AM95+50+87+31</f>
        <v>601</v>
      </c>
    </row>
    <row r="96" spans="1:41" x14ac:dyDescent="0.25">
      <c r="A96" s="67"/>
      <c r="B96" s="1" t="s">
        <v>59</v>
      </c>
      <c r="C96" s="1">
        <v>3</v>
      </c>
      <c r="D96" s="13">
        <f t="shared" si="97"/>
        <v>1.477832512315271E-3</v>
      </c>
      <c r="E96" s="1">
        <v>121</v>
      </c>
      <c r="F96" s="13">
        <f t="shared" si="103"/>
        <v>1.2511373976342129E-3</v>
      </c>
      <c r="G96" s="16">
        <f t="shared" si="113"/>
        <v>40.333333333333336</v>
      </c>
      <c r="H96" s="2">
        <v>1</v>
      </c>
      <c r="I96" s="9"/>
      <c r="J96" s="1">
        <v>1</v>
      </c>
      <c r="K96" s="1"/>
      <c r="L96" s="1">
        <v>1</v>
      </c>
      <c r="M96" s="1"/>
      <c r="N96" s="29">
        <f>4-1</f>
        <v>3</v>
      </c>
      <c r="O96" s="30">
        <f>20+10+42+49</f>
        <v>121</v>
      </c>
      <c r="P96" s="29">
        <f t="shared" si="115"/>
        <v>3</v>
      </c>
      <c r="Q96" s="30">
        <f t="shared" si="115"/>
        <v>121</v>
      </c>
      <c r="R96" s="29">
        <f t="shared" si="116"/>
        <v>3</v>
      </c>
      <c r="S96" s="30">
        <f t="shared" si="116"/>
        <v>121</v>
      </c>
      <c r="T96" s="29">
        <f t="shared" si="116"/>
        <v>3</v>
      </c>
      <c r="U96" s="30">
        <f t="shared" si="116"/>
        <v>121</v>
      </c>
      <c r="V96" s="29">
        <f t="shared" si="116"/>
        <v>3</v>
      </c>
      <c r="W96" s="30">
        <f t="shared" si="116"/>
        <v>121</v>
      </c>
      <c r="X96" s="29">
        <f t="shared" si="116"/>
        <v>3</v>
      </c>
      <c r="Y96" s="30">
        <f t="shared" si="116"/>
        <v>121</v>
      </c>
      <c r="Z96" s="29">
        <f t="shared" si="116"/>
        <v>3</v>
      </c>
      <c r="AA96" s="30">
        <f t="shared" si="116"/>
        <v>121</v>
      </c>
      <c r="AB96" s="29">
        <f t="shared" si="116"/>
        <v>3</v>
      </c>
      <c r="AC96" s="30">
        <f t="shared" si="116"/>
        <v>121</v>
      </c>
      <c r="AD96" s="29">
        <f>+AB96+0</f>
        <v>3</v>
      </c>
      <c r="AE96" s="30">
        <f>+AC96+0</f>
        <v>121</v>
      </c>
      <c r="AF96" s="29">
        <f>+AD96+0</f>
        <v>3</v>
      </c>
      <c r="AG96" s="30">
        <f>+AE96+0</f>
        <v>121</v>
      </c>
      <c r="AH96" s="29">
        <f>+AF96+0</f>
        <v>3</v>
      </c>
      <c r="AI96" s="30">
        <f>+AG96+0</f>
        <v>121</v>
      </c>
      <c r="AJ96" s="29">
        <f>+AH96+0</f>
        <v>3</v>
      </c>
      <c r="AK96" s="30">
        <f t="shared" ref="AK96:AK107" si="118">+AI96+0</f>
        <v>121</v>
      </c>
      <c r="AL96" s="29">
        <f>+AJ96+0</f>
        <v>3</v>
      </c>
      <c r="AM96" s="30">
        <f t="shared" si="117"/>
        <v>121</v>
      </c>
      <c r="AN96" s="99">
        <f t="shared" ref="AN96:AN146" si="119">+AL96+0</f>
        <v>3</v>
      </c>
      <c r="AO96" s="100">
        <f t="shared" ref="AO96:AO146" si="120">+AM96+0</f>
        <v>121</v>
      </c>
    </row>
    <row r="97" spans="1:41" x14ac:dyDescent="0.25">
      <c r="A97" s="67"/>
      <c r="B97" s="1" t="s">
        <v>64</v>
      </c>
      <c r="C97" s="1">
        <v>6</v>
      </c>
      <c r="D97" s="13">
        <f t="shared" si="97"/>
        <v>2.9556650246305421E-3</v>
      </c>
      <c r="E97" s="1">
        <f>58+36+19+48+20+18+14</f>
        <v>213</v>
      </c>
      <c r="F97" s="13">
        <f t="shared" si="103"/>
        <v>2.2024154189759287E-3</v>
      </c>
      <c r="G97" s="16">
        <f t="shared" si="113"/>
        <v>35.5</v>
      </c>
      <c r="H97" s="2">
        <v>5</v>
      </c>
      <c r="I97" s="9"/>
      <c r="J97" s="1">
        <v>1</v>
      </c>
      <c r="K97" s="1"/>
      <c r="L97" s="1"/>
      <c r="M97" s="1"/>
      <c r="N97" s="29">
        <v>0</v>
      </c>
      <c r="O97" s="30">
        <v>0</v>
      </c>
      <c r="P97" s="29">
        <f t="shared" si="115"/>
        <v>0</v>
      </c>
      <c r="Q97" s="30">
        <f t="shared" si="115"/>
        <v>0</v>
      </c>
      <c r="R97" s="29">
        <f t="shared" ref="R97:W98" si="121">+P97+0</f>
        <v>0</v>
      </c>
      <c r="S97" s="30">
        <f t="shared" si="121"/>
        <v>0</v>
      </c>
      <c r="T97" s="29">
        <f t="shared" si="121"/>
        <v>0</v>
      </c>
      <c r="U97" s="30">
        <f t="shared" si="121"/>
        <v>0</v>
      </c>
      <c r="V97" s="29">
        <f t="shared" si="121"/>
        <v>0</v>
      </c>
      <c r="W97" s="30">
        <f t="shared" si="121"/>
        <v>0</v>
      </c>
      <c r="X97" s="29">
        <f>+V97+0</f>
        <v>0</v>
      </c>
      <c r="Y97" s="30">
        <f>+W97+0</f>
        <v>0</v>
      </c>
      <c r="Z97" s="29">
        <f>+X97+3</f>
        <v>3</v>
      </c>
      <c r="AA97" s="30">
        <f>+Y97+36+36+19+48</f>
        <v>139</v>
      </c>
      <c r="AB97" s="29">
        <f>+Z97+0</f>
        <v>3</v>
      </c>
      <c r="AC97" s="30">
        <f>+AA97+0</f>
        <v>139</v>
      </c>
      <c r="AD97" s="29">
        <f>+AB97+2</f>
        <v>5</v>
      </c>
      <c r="AE97" s="30">
        <f>+AC97+20+18</f>
        <v>177</v>
      </c>
      <c r="AF97" s="29">
        <f t="shared" ref="AF97:AH98" si="122">+AD97+0</f>
        <v>5</v>
      </c>
      <c r="AG97" s="30">
        <f>+AE97+58-36</f>
        <v>199</v>
      </c>
      <c r="AH97" s="29">
        <f t="shared" si="122"/>
        <v>5</v>
      </c>
      <c r="AI97" s="30">
        <f>+AG97+0</f>
        <v>199</v>
      </c>
      <c r="AJ97" s="29">
        <f>+AH97+0</f>
        <v>5</v>
      </c>
      <c r="AK97" s="30">
        <f t="shared" si="118"/>
        <v>199</v>
      </c>
      <c r="AL97" s="29">
        <f>+AJ97+0</f>
        <v>5</v>
      </c>
      <c r="AM97" s="30">
        <f t="shared" si="117"/>
        <v>199</v>
      </c>
      <c r="AN97" s="99">
        <f>+AL97+1</f>
        <v>6</v>
      </c>
      <c r="AO97" s="100">
        <f>+AM97+14</f>
        <v>213</v>
      </c>
    </row>
    <row r="98" spans="1:41" x14ac:dyDescent="0.25">
      <c r="A98" s="67"/>
      <c r="B98" s="1" t="s">
        <v>65</v>
      </c>
      <c r="C98" s="1">
        <v>1</v>
      </c>
      <c r="D98" s="13">
        <f t="shared" si="97"/>
        <v>4.9261083743842361E-4</v>
      </c>
      <c r="E98" s="1">
        <v>30</v>
      </c>
      <c r="F98" s="13">
        <f t="shared" si="103"/>
        <v>3.1019935478534204E-4</v>
      </c>
      <c r="G98" s="16">
        <f t="shared" si="113"/>
        <v>30</v>
      </c>
      <c r="H98" s="2"/>
      <c r="I98" s="9"/>
      <c r="J98" s="1"/>
      <c r="K98" s="1"/>
      <c r="L98" s="1">
        <v>1</v>
      </c>
      <c r="M98" s="1"/>
      <c r="N98" s="29">
        <v>1</v>
      </c>
      <c r="O98" s="30">
        <v>30</v>
      </c>
      <c r="P98" s="29">
        <f t="shared" si="115"/>
        <v>1</v>
      </c>
      <c r="Q98" s="30">
        <f t="shared" si="115"/>
        <v>30</v>
      </c>
      <c r="R98" s="29">
        <f t="shared" si="121"/>
        <v>1</v>
      </c>
      <c r="S98" s="30">
        <f t="shared" si="121"/>
        <v>30</v>
      </c>
      <c r="T98" s="29">
        <f t="shared" si="121"/>
        <v>1</v>
      </c>
      <c r="U98" s="30">
        <f t="shared" si="121"/>
        <v>30</v>
      </c>
      <c r="V98" s="29">
        <f t="shared" si="121"/>
        <v>1</v>
      </c>
      <c r="W98" s="30">
        <f t="shared" si="121"/>
        <v>30</v>
      </c>
      <c r="X98" s="29">
        <f>+V98+0</f>
        <v>1</v>
      </c>
      <c r="Y98" s="30">
        <f>+W98+0</f>
        <v>30</v>
      </c>
      <c r="Z98" s="29">
        <f>+X98+0</f>
        <v>1</v>
      </c>
      <c r="AA98" s="30">
        <f>+Y98+0</f>
        <v>30</v>
      </c>
      <c r="AB98" s="29">
        <f>+Z98+0</f>
        <v>1</v>
      </c>
      <c r="AC98" s="30">
        <f>+AA98+0</f>
        <v>30</v>
      </c>
      <c r="AD98" s="29">
        <f>+AB98+0</f>
        <v>1</v>
      </c>
      <c r="AE98" s="30">
        <f>+AC98+0</f>
        <v>30</v>
      </c>
      <c r="AF98" s="29">
        <f t="shared" si="122"/>
        <v>1</v>
      </c>
      <c r="AG98" s="30">
        <f t="shared" si="122"/>
        <v>30</v>
      </c>
      <c r="AH98" s="29">
        <f t="shared" si="122"/>
        <v>1</v>
      </c>
      <c r="AI98" s="30">
        <f>+AG98+0</f>
        <v>30</v>
      </c>
      <c r="AJ98" s="29">
        <f>+AH98+0</f>
        <v>1</v>
      </c>
      <c r="AK98" s="30">
        <f t="shared" si="118"/>
        <v>30</v>
      </c>
      <c r="AL98" s="29">
        <f>+AJ98+0</f>
        <v>1</v>
      </c>
      <c r="AM98" s="30">
        <f t="shared" si="117"/>
        <v>30</v>
      </c>
      <c r="AN98" s="99">
        <f t="shared" si="119"/>
        <v>1</v>
      </c>
      <c r="AO98" s="100">
        <f t="shared" si="120"/>
        <v>30</v>
      </c>
    </row>
    <row r="99" spans="1:41" x14ac:dyDescent="0.25">
      <c r="A99" s="67"/>
      <c r="B99" s="3" t="s">
        <v>66</v>
      </c>
      <c r="C99" s="3">
        <v>283</v>
      </c>
      <c r="D99" s="13">
        <f t="shared" si="97"/>
        <v>0.1394088669950739</v>
      </c>
      <c r="E99" s="3">
        <f>39+39+85+10+16+10+42+42+17+17+22+19+25+34+20+16+7+67+34+22+12+12+12+64+119+23+18+32+17+48+33+66+30+30+31+38+28+37+20+64+35+35+38+102+37+37+31+46+32+60+31+58+45+61+32+16+37+36+20+21+35+35+48+48+18+18+13+11+8+31+10+130+38+24+28+59+40+40+30+23+34+41+70+24+12+12+61+90+48+30+9+70+73+95+51+54+77+83+14+8+14+61+30+30+15+47+81+82+50+50+71+132+17+15+15+15+34+96+52+51+61+88+30+44+10+16+8+60+143+145+37+154+57+38+33+12+8+13+13+13+14+11+14+4+19+25+15+8+52+45+45+11+14+8+42+28+61+28+62+71+149+33+36+43+28+72+75+18+14+14+33+21+33+20+22+20+11+11+9+11+28+4+3+35+15+20+12+4+37+28+18+23+23+23+30+38+16+10+5+12+36+27+8+102+52+21+23+154+34+5+27+14+12+13+13+10+9+36+36+11+51+30+25+12+9+20+8+71+69+13+25+33+35+8+7+8+21+57+24+24+82+30+101+69+30+30+16+30+50+27+16+13+23+15+15+50+20+9+13+18+18+33+30+38+95+46+27+39+37+40+35+38+29+23+43+42+70+88+8+13+13+24+24+23+65+17+128+47+19+17+10+26+28+30+29+23+21+15+20+21+83+81+94+18+47+30+3+2+3+17+35+14+10+9+42+42+71+38+9+17+20+28+59+16+50+11+14+14+17+12+16+38+10+19+18+77+98+55+37+50+49+15+5+5+15+15+26+11+16+32+15+60+42+17+30+2+3+7+29+50+14+36+2+2+2+2+1+13+18+3+3+2+57+38+28+44+45+11+34+24+11+66+53+9+25+11+17+38+35</f>
        <v>12999</v>
      </c>
      <c r="F99" s="13">
        <f t="shared" si="103"/>
        <v>0.13440938042848871</v>
      </c>
      <c r="G99" s="16">
        <f t="shared" si="113"/>
        <v>45.93286219081272</v>
      </c>
      <c r="H99" s="2">
        <v>202</v>
      </c>
      <c r="I99" s="9"/>
      <c r="J99" s="1">
        <v>80</v>
      </c>
      <c r="K99" s="1"/>
      <c r="L99" s="1">
        <v>1</v>
      </c>
      <c r="M99" s="1"/>
      <c r="N99" s="29">
        <v>60</v>
      </c>
      <c r="O99" s="30">
        <f>39+39+85+10+16+11+6+10+8+7+42+42+17+17+10+7+10+4+22+19+25+14+34+20+16+7+67+34+22+12+12+12+64+119+23+18+32+32+48+33+66+30+30+31+38+28+37+20+63+58+64+35+35+38+102+37+37+31+46+32+36+60+31+58+45+61+32+16+37+36+20+21+35+35+48+48+18+18+13+11+8+31+10+130+38+24+28+59+40+40+30+23+34+41+70+24+19+30</f>
        <v>3281</v>
      </c>
      <c r="P99" s="29">
        <f>+N99+2</f>
        <v>62</v>
      </c>
      <c r="Q99" s="30">
        <f>+O99+12+12</f>
        <v>3305</v>
      </c>
      <c r="R99" s="29">
        <f>+P99+3</f>
        <v>65</v>
      </c>
      <c r="S99" s="30">
        <f>+Q99+61+90+46+27</f>
        <v>3529</v>
      </c>
      <c r="T99" s="29">
        <f>+R99+25-2</f>
        <v>88</v>
      </c>
      <c r="U99" s="30">
        <f>+S99+48+30+9+70+73+95+51+54+77+83+14+8+14+61+30+30+15+47+81+82+50+50+71+132+17+15+15+15+34+96+52+51+61+88+30+44+10-14-19-30</f>
        <v>5269</v>
      </c>
      <c r="V99" s="29">
        <f>+T99+15</f>
        <v>103</v>
      </c>
      <c r="W99" s="30">
        <f>+U99+16+8+60+143+145+37+154+57+38+33+12+8+13+13+13+14+11+14+4+19+25</f>
        <v>6106</v>
      </c>
      <c r="X99" s="29">
        <f>+V99+7</f>
        <v>110</v>
      </c>
      <c r="Y99" s="30">
        <f>+W99+15+8+52+45+45+10+7+9+11+14+8+32+42</f>
        <v>6404</v>
      </c>
      <c r="Z99" s="29">
        <f>+X99+43</f>
        <v>153</v>
      </c>
      <c r="AA99" s="30">
        <f>+Y99+28+61+28+62+71+149+33+36+43+28+72+75+18+14+14+7+4+33+21+33+20+22+20+11+11+9+11+28+4+3+35+15+20+12+4+37+28+18+23+23+23+30+38+16+10+5+12+36+27+8+102+52+21+23+154+34+5+27+14+12+13+13+10+12</f>
        <v>8285</v>
      </c>
      <c r="AB99" s="29">
        <f>+Z99+20</f>
        <v>173</v>
      </c>
      <c r="AC99" s="30">
        <f>+AA99+9+36+36+11+51+30+25+12+9+20+8+71+69+13+25+33+35+8+7+8+21+57+24+24+82+30+101</f>
        <v>9140</v>
      </c>
      <c r="AD99" s="29">
        <f>+AB99+35-1</f>
        <v>207</v>
      </c>
      <c r="AE99" s="30">
        <f>+AC99+69+30+30+16+30+50+27+16+13+23+15+15+50+20+9+13+18+18+33+30+38+95+46+27+39+37+40+35+38+29+23+43+42+70+88+8+13+13+24+24+23+65+17+128+47-46-27</f>
        <v>10644</v>
      </c>
      <c r="AF99" s="29">
        <f>+AD99+22-2</f>
        <v>227</v>
      </c>
      <c r="AG99" s="30">
        <f>+AE99+70+19+17+10+26+28+30+29+23+21+15+20+21+83+81+94+18+47+30+3+2+3+17+35+14+10+9+42+42-70-10-7-10-4</f>
        <v>11402</v>
      </c>
      <c r="AH99" s="29">
        <f>+AF99+8-2</f>
        <v>233</v>
      </c>
      <c r="AI99" s="30">
        <f>+AG99+71+38+9+17+20+28+59+16+50-11-6-8-7-36-63-58-12</f>
        <v>11509</v>
      </c>
      <c r="AJ99" s="29">
        <f>+AH99+16-1</f>
        <v>248</v>
      </c>
      <c r="AK99" s="30">
        <f>+AI99+11+14+14+17+12+16+38+10+19+18+77+98+55+37+50+49+15+5+5+15+15-7-4-32</f>
        <v>12056</v>
      </c>
      <c r="AL99" s="29">
        <f>+AJ99+21-2</f>
        <v>267</v>
      </c>
      <c r="AM99" s="30">
        <f>+AK99+16+26+11+16+32+15+60+42+17+30+2+3+7+29+50+14+36+2+2+2+2+1+13+18+3+3+2-7-10-7-9-16</f>
        <v>12461</v>
      </c>
      <c r="AN99" s="99">
        <f>+AL99+17-1</f>
        <v>283</v>
      </c>
      <c r="AO99" s="100">
        <f>+AM99+14+57+38+28+44+45+11+34+24+11+66+53+9+25+11+17+38+35-8-14</f>
        <v>12999</v>
      </c>
    </row>
    <row r="100" spans="1:41" x14ac:dyDescent="0.25">
      <c r="A100" s="67"/>
      <c r="B100" s="1" t="s">
        <v>67</v>
      </c>
      <c r="C100" s="35">
        <v>59</v>
      </c>
      <c r="D100" s="13">
        <f t="shared" si="97"/>
        <v>2.9064039408866996E-2</v>
      </c>
      <c r="E100" s="35">
        <f>67+102+79+50+108+92+45+40+74+64+65+42+80+72+89+13+8+46+46+37+46+80+69+54+42+83+54+30+30+45+19+81+28+15+53+75+46+30+72+43+95+58+20+105+41+19+10+37+19+65+28+27+31+44+37+103+51+35+10+58+50+24+20+107+36</f>
        <v>3344</v>
      </c>
      <c r="F100" s="13">
        <f t="shared" si="103"/>
        <v>3.4576888080072796E-2</v>
      </c>
      <c r="G100" s="16">
        <f t="shared" si="113"/>
        <v>56.677966101694913</v>
      </c>
      <c r="H100" s="34">
        <v>54</v>
      </c>
      <c r="I100" s="33"/>
      <c r="J100" s="35">
        <v>5</v>
      </c>
      <c r="K100" s="35"/>
      <c r="L100" s="1"/>
      <c r="M100" s="1"/>
      <c r="N100" s="29">
        <f>7+1</f>
        <v>8</v>
      </c>
      <c r="O100" s="30">
        <f>27+27+14+67+102+79+50+108+92</f>
        <v>566</v>
      </c>
      <c r="P100" s="29">
        <f t="shared" ref="P100:S101" si="123">+N100+0</f>
        <v>8</v>
      </c>
      <c r="Q100" s="30">
        <f t="shared" si="123"/>
        <v>566</v>
      </c>
      <c r="R100" s="29">
        <f t="shared" si="123"/>
        <v>8</v>
      </c>
      <c r="S100" s="30">
        <f t="shared" si="123"/>
        <v>566</v>
      </c>
      <c r="T100" s="29">
        <f>+R100+8</f>
        <v>16</v>
      </c>
      <c r="U100" s="30">
        <f>+S100+45+40+74+64+65+42+80+72+89</f>
        <v>1137</v>
      </c>
      <c r="V100" s="29">
        <f>+T100+2</f>
        <v>18</v>
      </c>
      <c r="W100" s="30">
        <f>+U100+13+8+46+46-27-14</f>
        <v>1209</v>
      </c>
      <c r="X100" s="29">
        <f>+V100+0</f>
        <v>18</v>
      </c>
      <c r="Y100" s="30">
        <f>+W100+0</f>
        <v>1209</v>
      </c>
      <c r="Z100" s="29">
        <f>+X100+18</f>
        <v>36</v>
      </c>
      <c r="AA100" s="30">
        <f>+Y100+55+46+80+69+54+42+83+54+124+30+30+45+19+81+28+15+53+75+46</f>
        <v>2238</v>
      </c>
      <c r="AB100" s="29">
        <f>+Z100+3</f>
        <v>39</v>
      </c>
      <c r="AC100" s="30">
        <f>+AA100+30+72+43</f>
        <v>2383</v>
      </c>
      <c r="AD100" s="29">
        <f>+AB100+1-1</f>
        <v>39</v>
      </c>
      <c r="AE100" s="30">
        <f>+AC100+95+58-27</f>
        <v>2509</v>
      </c>
      <c r="AF100" s="29">
        <f>+AD100+5</f>
        <v>44</v>
      </c>
      <c r="AG100" s="30">
        <f>+AE100+26+20+105+41+19+10</f>
        <v>2730</v>
      </c>
      <c r="AH100" s="29">
        <f>+AF100+1</f>
        <v>45</v>
      </c>
      <c r="AI100" s="30">
        <f>+AG100+37</f>
        <v>2767</v>
      </c>
      <c r="AJ100" s="29">
        <f>+AH100+2-2</f>
        <v>45</v>
      </c>
      <c r="AK100" s="30">
        <f>+AI100+19+65-124-26</f>
        <v>2701</v>
      </c>
      <c r="AL100" s="31">
        <f>+AJ100+8</f>
        <v>53</v>
      </c>
      <c r="AM100" s="32">
        <f>+AK100+28+27+31+44+37+103+51+35+10</f>
        <v>3067</v>
      </c>
      <c r="AN100" s="95">
        <f>+AL100+6</f>
        <v>59</v>
      </c>
      <c r="AO100" s="96">
        <f>+AM100+58+50+24+20+107+36-18</f>
        <v>3344</v>
      </c>
    </row>
    <row r="101" spans="1:41" x14ac:dyDescent="0.25">
      <c r="A101" s="67"/>
      <c r="B101" s="1" t="s">
        <v>68</v>
      </c>
      <c r="C101" s="1">
        <v>5</v>
      </c>
      <c r="D101" s="13">
        <f t="shared" si="97"/>
        <v>2.4630541871921183E-3</v>
      </c>
      <c r="E101" s="1">
        <f>34+17+54+34+11</f>
        <v>150</v>
      </c>
      <c r="F101" s="13">
        <f t="shared" si="103"/>
        <v>1.5509967739267103E-3</v>
      </c>
      <c r="G101" s="16">
        <f t="shared" si="113"/>
        <v>30</v>
      </c>
      <c r="H101" s="2">
        <v>5</v>
      </c>
      <c r="I101" s="9"/>
      <c r="J101" s="1"/>
      <c r="K101" s="1"/>
      <c r="L101" s="1"/>
      <c r="M101" s="1"/>
      <c r="N101" s="29">
        <v>0</v>
      </c>
      <c r="O101" s="30">
        <v>0</v>
      </c>
      <c r="P101" s="29">
        <f t="shared" si="123"/>
        <v>0</v>
      </c>
      <c r="Q101" s="30">
        <f t="shared" si="123"/>
        <v>0</v>
      </c>
      <c r="R101" s="29">
        <f t="shared" si="123"/>
        <v>0</v>
      </c>
      <c r="S101" s="30">
        <f t="shared" si="123"/>
        <v>0</v>
      </c>
      <c r="T101" s="29">
        <f>+R101+0</f>
        <v>0</v>
      </c>
      <c r="U101" s="30">
        <f>+S101+0</f>
        <v>0</v>
      </c>
      <c r="V101" s="29">
        <f>+T101+0</f>
        <v>0</v>
      </c>
      <c r="W101" s="30">
        <f>+U101+0</f>
        <v>0</v>
      </c>
      <c r="X101" s="29">
        <f>+V101+2</f>
        <v>2</v>
      </c>
      <c r="Y101" s="30">
        <f>+W101+34+17</f>
        <v>51</v>
      </c>
      <c r="Z101" s="29">
        <f>+X101+1</f>
        <v>3</v>
      </c>
      <c r="AA101" s="30">
        <f>+Y101+54</f>
        <v>105</v>
      </c>
      <c r="AB101" s="29">
        <f>+Z101+0</f>
        <v>3</v>
      </c>
      <c r="AC101" s="30">
        <f>+AA101+0</f>
        <v>105</v>
      </c>
      <c r="AD101" s="29">
        <f>+AB101+1</f>
        <v>4</v>
      </c>
      <c r="AE101" s="30">
        <f>+AC101+34</f>
        <v>139</v>
      </c>
      <c r="AF101" s="29">
        <f t="shared" ref="AF101:AI102" si="124">+AD101+0</f>
        <v>4</v>
      </c>
      <c r="AG101" s="30">
        <f t="shared" si="124"/>
        <v>139</v>
      </c>
      <c r="AH101" s="29">
        <f t="shared" si="124"/>
        <v>4</v>
      </c>
      <c r="AI101" s="30">
        <f t="shared" si="124"/>
        <v>139</v>
      </c>
      <c r="AJ101" s="29">
        <f>+AH101+1</f>
        <v>5</v>
      </c>
      <c r="AK101" s="30">
        <f>+AI101+11</f>
        <v>150</v>
      </c>
      <c r="AL101" s="29">
        <f>+AJ101+0</f>
        <v>5</v>
      </c>
      <c r="AM101" s="30">
        <f t="shared" si="117"/>
        <v>150</v>
      </c>
      <c r="AN101" s="99">
        <f t="shared" si="119"/>
        <v>5</v>
      </c>
      <c r="AO101" s="100">
        <f t="shared" si="120"/>
        <v>150</v>
      </c>
    </row>
    <row r="102" spans="1:41" x14ac:dyDescent="0.25">
      <c r="A102" s="67"/>
      <c r="B102" s="1" t="s">
        <v>69</v>
      </c>
      <c r="C102" s="1">
        <v>25</v>
      </c>
      <c r="D102" s="13">
        <f t="shared" si="97"/>
        <v>1.2315270935960592E-2</v>
      </c>
      <c r="E102" s="1">
        <f>44+44+20+10+130+82+5+9+10+23+30+3+3+1+1+8+5+38+38+3+3+3+3+3+2+3+3+3+2+26+33+19+32+127+25+25+18+13+35+71+12+14+15+85+18+15+17+36+22+23+23+4</f>
        <v>1240</v>
      </c>
      <c r="F102" s="13">
        <f t="shared" si="103"/>
        <v>1.2821573331127472E-2</v>
      </c>
      <c r="G102" s="16">
        <f t="shared" si="113"/>
        <v>49.6</v>
      </c>
      <c r="H102" s="2">
        <v>11</v>
      </c>
      <c r="I102" s="9"/>
      <c r="J102" s="1">
        <v>14</v>
      </c>
      <c r="K102" s="1"/>
      <c r="L102" s="1"/>
      <c r="M102" s="1"/>
      <c r="N102" s="29">
        <v>2</v>
      </c>
      <c r="O102" s="30">
        <f>44+44+20+10</f>
        <v>118</v>
      </c>
      <c r="P102" s="29">
        <f>+N102+1</f>
        <v>3</v>
      </c>
      <c r="Q102" s="30">
        <f>+O102+130</f>
        <v>248</v>
      </c>
      <c r="R102" s="29">
        <f t="shared" ref="R102:S107" si="125">+P102+0</f>
        <v>3</v>
      </c>
      <c r="S102" s="30">
        <f t="shared" si="125"/>
        <v>248</v>
      </c>
      <c r="T102" s="29">
        <f>+R102+5</f>
        <v>8</v>
      </c>
      <c r="U102" s="30">
        <f>+S102+82+5+9+10+23+30+3+3+1+1+8+5</f>
        <v>428</v>
      </c>
      <c r="V102" s="29">
        <f t="shared" ref="V102:Y103" si="126">+T102+0</f>
        <v>8</v>
      </c>
      <c r="W102" s="30">
        <f t="shared" si="126"/>
        <v>428</v>
      </c>
      <c r="X102" s="29">
        <f t="shared" si="126"/>
        <v>8</v>
      </c>
      <c r="Y102" s="30">
        <f t="shared" si="126"/>
        <v>428</v>
      </c>
      <c r="Z102" s="29">
        <f>+X102+9</f>
        <v>17</v>
      </c>
      <c r="AA102" s="30">
        <f>+Y102+38+38+3+3+3+3+3+2+3+3+3+2+26+33+19+32+127+25+25+16+13</f>
        <v>848</v>
      </c>
      <c r="AB102" s="29">
        <f>+Z102+2</f>
        <v>19</v>
      </c>
      <c r="AC102" s="30">
        <f>+AA102+35+71</f>
        <v>954</v>
      </c>
      <c r="AD102" s="29">
        <f>+AB102+5</f>
        <v>24</v>
      </c>
      <c r="AE102" s="30">
        <f>+AC102+12+14+15+85+18+15+17+36+20+23+23+4</f>
        <v>1236</v>
      </c>
      <c r="AF102" s="29">
        <f t="shared" si="124"/>
        <v>24</v>
      </c>
      <c r="AG102" s="30">
        <f t="shared" si="124"/>
        <v>1236</v>
      </c>
      <c r="AH102" s="29">
        <f t="shared" si="124"/>
        <v>24</v>
      </c>
      <c r="AI102" s="30">
        <f t="shared" si="124"/>
        <v>1236</v>
      </c>
      <c r="AJ102" s="29">
        <f t="shared" ref="AJ102:AJ107" si="127">+AH102+0</f>
        <v>24</v>
      </c>
      <c r="AK102" s="30">
        <f t="shared" si="118"/>
        <v>1236</v>
      </c>
      <c r="AL102" s="29">
        <f>+AJ102+1-1</f>
        <v>24</v>
      </c>
      <c r="AM102" s="30">
        <f>+AK102+22-20</f>
        <v>1238</v>
      </c>
      <c r="AN102" s="99">
        <f>+AL102+2-1</f>
        <v>25</v>
      </c>
      <c r="AO102" s="100">
        <f>+AM102+18-16</f>
        <v>1240</v>
      </c>
    </row>
    <row r="103" spans="1:41" x14ac:dyDescent="0.25">
      <c r="A103" s="67"/>
      <c r="B103" s="1" t="s">
        <v>73</v>
      </c>
      <c r="C103" s="1">
        <v>3</v>
      </c>
      <c r="D103" s="13">
        <f t="shared" si="97"/>
        <v>1.477832512315271E-3</v>
      </c>
      <c r="E103" s="1">
        <v>191</v>
      </c>
      <c r="F103" s="13">
        <f t="shared" si="103"/>
        <v>1.9749358921333443E-3</v>
      </c>
      <c r="G103" s="16">
        <f t="shared" si="113"/>
        <v>63.666666666666664</v>
      </c>
      <c r="H103" s="2">
        <v>3</v>
      </c>
      <c r="I103" s="9"/>
      <c r="J103" s="1"/>
      <c r="K103" s="1"/>
      <c r="L103" s="1"/>
      <c r="M103" s="1"/>
      <c r="N103" s="29">
        <v>1</v>
      </c>
      <c r="O103" s="30">
        <v>58</v>
      </c>
      <c r="P103" s="29">
        <f>+N103+0</f>
        <v>1</v>
      </c>
      <c r="Q103" s="30">
        <f>+O103+0</f>
        <v>58</v>
      </c>
      <c r="R103" s="29">
        <f t="shared" si="125"/>
        <v>1</v>
      </c>
      <c r="S103" s="30">
        <f t="shared" si="125"/>
        <v>58</v>
      </c>
      <c r="T103" s="29">
        <f>+R103+2</f>
        <v>3</v>
      </c>
      <c r="U103" s="30">
        <f>+S103+61+72</f>
        <v>191</v>
      </c>
      <c r="V103" s="29">
        <f t="shared" si="126"/>
        <v>3</v>
      </c>
      <c r="W103" s="30">
        <f t="shared" si="126"/>
        <v>191</v>
      </c>
      <c r="X103" s="29">
        <f t="shared" si="126"/>
        <v>3</v>
      </c>
      <c r="Y103" s="30">
        <f t="shared" si="126"/>
        <v>191</v>
      </c>
      <c r="Z103" s="29">
        <f t="shared" ref="Z103:AE103" si="128">+X103+0</f>
        <v>3</v>
      </c>
      <c r="AA103" s="30">
        <f t="shared" si="128"/>
        <v>191</v>
      </c>
      <c r="AB103" s="29">
        <f t="shared" si="128"/>
        <v>3</v>
      </c>
      <c r="AC103" s="30">
        <f t="shared" si="128"/>
        <v>191</v>
      </c>
      <c r="AD103" s="29">
        <f t="shared" si="128"/>
        <v>3</v>
      </c>
      <c r="AE103" s="30">
        <f t="shared" si="128"/>
        <v>191</v>
      </c>
      <c r="AF103" s="29">
        <f>+AD103+0</f>
        <v>3</v>
      </c>
      <c r="AG103" s="30">
        <f>+AE103+0</f>
        <v>191</v>
      </c>
      <c r="AH103" s="29">
        <f>+AF103+0</f>
        <v>3</v>
      </c>
      <c r="AI103" s="30">
        <f>+AG103+0</f>
        <v>191</v>
      </c>
      <c r="AJ103" s="29">
        <f t="shared" si="127"/>
        <v>3</v>
      </c>
      <c r="AK103" s="30">
        <f t="shared" si="118"/>
        <v>191</v>
      </c>
      <c r="AL103" s="29">
        <f>+AJ103+0</f>
        <v>3</v>
      </c>
      <c r="AM103" s="30">
        <f t="shared" si="117"/>
        <v>191</v>
      </c>
      <c r="AN103" s="99">
        <f t="shared" si="119"/>
        <v>3</v>
      </c>
      <c r="AO103" s="100">
        <f t="shared" si="120"/>
        <v>191</v>
      </c>
    </row>
    <row r="104" spans="1:41" x14ac:dyDescent="0.25">
      <c r="A104" s="67"/>
      <c r="B104" s="1" t="s">
        <v>74</v>
      </c>
      <c r="C104" s="35">
        <f>32+3</f>
        <v>35</v>
      </c>
      <c r="D104" s="13">
        <f t="shared" si="97"/>
        <v>1.7241379310344827E-2</v>
      </c>
      <c r="E104" s="35">
        <f>1379+49+98+43+67+40+40+34+42+(64+69+22)</f>
        <v>1947</v>
      </c>
      <c r="F104" s="13">
        <f t="shared" si="103"/>
        <v>2.01319381255687E-2</v>
      </c>
      <c r="G104" s="16">
        <f t="shared" si="113"/>
        <v>55.628571428571426</v>
      </c>
      <c r="H104" s="34">
        <f>31+(3)</f>
        <v>34</v>
      </c>
      <c r="I104" s="33"/>
      <c r="J104" s="1">
        <v>1</v>
      </c>
      <c r="K104" s="1"/>
      <c r="L104" s="1"/>
      <c r="M104" s="1"/>
      <c r="N104" s="29">
        <v>5</v>
      </c>
      <c r="O104" s="30">
        <f>52+63+52+42+65</f>
        <v>274</v>
      </c>
      <c r="P104" s="29">
        <f>+N104+0</f>
        <v>5</v>
      </c>
      <c r="Q104" s="30">
        <f>+O104+0</f>
        <v>274</v>
      </c>
      <c r="R104" s="29">
        <f t="shared" si="125"/>
        <v>5</v>
      </c>
      <c r="S104" s="30">
        <f t="shared" si="125"/>
        <v>274</v>
      </c>
      <c r="T104" s="29">
        <f>+R104+8</f>
        <v>13</v>
      </c>
      <c r="U104" s="30">
        <f>+S104+56+13+51+85+36+55+11+16+20+20+20</f>
        <v>657</v>
      </c>
      <c r="V104" s="29">
        <f>+T104+1-1</f>
        <v>13</v>
      </c>
      <c r="W104" s="30">
        <f>+U104+53+113-16</f>
        <v>807</v>
      </c>
      <c r="X104" s="29">
        <f>+V104+0-1</f>
        <v>12</v>
      </c>
      <c r="Y104" s="30">
        <f>+W104+0-20-20-20</f>
        <v>747</v>
      </c>
      <c r="Z104" s="29">
        <f>+X104+1</f>
        <v>13</v>
      </c>
      <c r="AA104" s="30">
        <f>+Y104+37</f>
        <v>784</v>
      </c>
      <c r="AB104" s="29">
        <f>+Z104+6</f>
        <v>19</v>
      </c>
      <c r="AC104" s="30">
        <f>+AA104+76+31+25+28+27+64</f>
        <v>1035</v>
      </c>
      <c r="AD104" s="29">
        <f>+AB104+3</f>
        <v>22</v>
      </c>
      <c r="AE104" s="30">
        <f>+AC104+45+46+44</f>
        <v>1170</v>
      </c>
      <c r="AF104" s="29">
        <f>+AD104+3-1</f>
        <v>24</v>
      </c>
      <c r="AG104" s="30">
        <f>+AE104+67+67+67+45-37</f>
        <v>1379</v>
      </c>
      <c r="AH104" s="29">
        <f>+AF104+4</f>
        <v>28</v>
      </c>
      <c r="AI104" s="30">
        <f>+AG104+49+98+43+67</f>
        <v>1636</v>
      </c>
      <c r="AJ104" s="29">
        <f>+AH104+0</f>
        <v>28</v>
      </c>
      <c r="AK104" s="30">
        <f>+AI104+0</f>
        <v>1636</v>
      </c>
      <c r="AL104" s="31">
        <f>+AJ104+4+(3)</f>
        <v>35</v>
      </c>
      <c r="AM104" s="32">
        <f>+AK104+40+40+34+42+(64+69+22)</f>
        <v>1947</v>
      </c>
      <c r="AN104" s="95">
        <f t="shared" si="119"/>
        <v>35</v>
      </c>
      <c r="AO104" s="96">
        <f t="shared" si="120"/>
        <v>1947</v>
      </c>
    </row>
    <row r="105" spans="1:41" x14ac:dyDescent="0.25">
      <c r="A105" s="67"/>
      <c r="B105" s="1" t="s">
        <v>79</v>
      </c>
      <c r="C105" s="1">
        <v>7</v>
      </c>
      <c r="D105" s="13">
        <f t="shared" ref="D105:D136" si="129">+C105/$C$158</f>
        <v>3.4482758620689655E-3</v>
      </c>
      <c r="E105" s="1">
        <f>105+77+91+90+14+13+22+15+14+19</f>
        <v>460</v>
      </c>
      <c r="F105" s="13">
        <f t="shared" si="103"/>
        <v>4.7563901067085778E-3</v>
      </c>
      <c r="G105" s="16">
        <f t="shared" si="113"/>
        <v>65.714285714285708</v>
      </c>
      <c r="H105" s="2">
        <v>5</v>
      </c>
      <c r="I105" s="9"/>
      <c r="J105" s="1">
        <v>2</v>
      </c>
      <c r="K105" s="1"/>
      <c r="L105" s="1"/>
      <c r="M105" s="1"/>
      <c r="N105" s="29">
        <v>0</v>
      </c>
      <c r="O105" s="30">
        <v>0</v>
      </c>
      <c r="P105" s="29">
        <f t="shared" ref="P105:Q107" si="130">+N105+0</f>
        <v>0</v>
      </c>
      <c r="Q105" s="30">
        <f t="shared" si="130"/>
        <v>0</v>
      </c>
      <c r="R105" s="29">
        <f t="shared" si="125"/>
        <v>0</v>
      </c>
      <c r="S105" s="30">
        <f t="shared" si="125"/>
        <v>0</v>
      </c>
      <c r="T105" s="29">
        <f>+R105+1</f>
        <v>1</v>
      </c>
      <c r="U105" s="30">
        <f>+S105+105</f>
        <v>105</v>
      </c>
      <c r="V105" s="29">
        <f>+T105+2</f>
        <v>3</v>
      </c>
      <c r="W105" s="30">
        <f>+U105+77+91</f>
        <v>273</v>
      </c>
      <c r="X105" s="29">
        <f>+V105+0</f>
        <v>3</v>
      </c>
      <c r="Y105" s="30">
        <f>+W105+0</f>
        <v>273</v>
      </c>
      <c r="Z105" s="29">
        <f>+X105+1</f>
        <v>4</v>
      </c>
      <c r="AA105" s="30">
        <f>+Y105+90</f>
        <v>363</v>
      </c>
      <c r="AB105" s="29">
        <f t="shared" ref="AB105:AC107" si="131">+Z105+0</f>
        <v>4</v>
      </c>
      <c r="AC105" s="30">
        <f t="shared" si="131"/>
        <v>363</v>
      </c>
      <c r="AD105" s="29">
        <f>+AB105+2</f>
        <v>6</v>
      </c>
      <c r="AE105" s="30">
        <f>+AC105+14+13+22+15+14</f>
        <v>441</v>
      </c>
      <c r="AF105" s="29">
        <f t="shared" ref="AF105:AG107" si="132">+AD105+0</f>
        <v>6</v>
      </c>
      <c r="AG105" s="30">
        <f t="shared" si="132"/>
        <v>441</v>
      </c>
      <c r="AH105" s="29">
        <f>+AF105+0</f>
        <v>6</v>
      </c>
      <c r="AI105" s="30">
        <f>+AG105+0</f>
        <v>441</v>
      </c>
      <c r="AJ105" s="29">
        <f t="shared" si="127"/>
        <v>6</v>
      </c>
      <c r="AK105" s="30">
        <f t="shared" si="118"/>
        <v>441</v>
      </c>
      <c r="AL105" s="29">
        <f>+AJ105+1</f>
        <v>7</v>
      </c>
      <c r="AM105" s="30">
        <f>+AK105+19</f>
        <v>460</v>
      </c>
      <c r="AN105" s="99">
        <f t="shared" si="119"/>
        <v>7</v>
      </c>
      <c r="AO105" s="100">
        <f t="shared" si="120"/>
        <v>460</v>
      </c>
    </row>
    <row r="106" spans="1:41" x14ac:dyDescent="0.25">
      <c r="A106" s="67"/>
      <c r="B106" s="1" t="s">
        <v>80</v>
      </c>
      <c r="C106" s="1">
        <v>5</v>
      </c>
      <c r="D106" s="13">
        <f t="shared" si="129"/>
        <v>2.4630541871921183E-3</v>
      </c>
      <c r="E106" s="1">
        <f>245+23</f>
        <v>268</v>
      </c>
      <c r="F106" s="13">
        <f t="shared" si="103"/>
        <v>2.7711142360823888E-3</v>
      </c>
      <c r="G106" s="16">
        <f t="shared" si="113"/>
        <v>53.6</v>
      </c>
      <c r="H106" s="2">
        <v>3</v>
      </c>
      <c r="I106" s="9"/>
      <c r="J106" s="1">
        <v>2</v>
      </c>
      <c r="K106" s="1"/>
      <c r="L106" s="1"/>
      <c r="M106" s="1"/>
      <c r="N106" s="29">
        <v>1</v>
      </c>
      <c r="O106" s="30">
        <f>13+13+12+8+13+13</f>
        <v>72</v>
      </c>
      <c r="P106" s="29">
        <f t="shared" si="130"/>
        <v>1</v>
      </c>
      <c r="Q106" s="30">
        <f t="shared" si="130"/>
        <v>72</v>
      </c>
      <c r="R106" s="29">
        <f t="shared" si="125"/>
        <v>1</v>
      </c>
      <c r="S106" s="30">
        <f t="shared" si="125"/>
        <v>72</v>
      </c>
      <c r="T106" s="29">
        <f>+R106+2</f>
        <v>3</v>
      </c>
      <c r="U106" s="30">
        <f>+S106+29+89</f>
        <v>190</v>
      </c>
      <c r="V106" s="29">
        <f>+T106+0</f>
        <v>3</v>
      </c>
      <c r="W106" s="30">
        <f>+U106+0</f>
        <v>190</v>
      </c>
      <c r="X106" s="29">
        <f>+V106+0</f>
        <v>3</v>
      </c>
      <c r="Y106" s="30">
        <f>+W106+0</f>
        <v>190</v>
      </c>
      <c r="Z106" s="29">
        <f>+X106+1</f>
        <v>4</v>
      </c>
      <c r="AA106" s="30">
        <f>+Y106+14+18+23</f>
        <v>245</v>
      </c>
      <c r="AB106" s="29">
        <f t="shared" si="131"/>
        <v>4</v>
      </c>
      <c r="AC106" s="30">
        <f t="shared" si="131"/>
        <v>245</v>
      </c>
      <c r="AD106" s="29">
        <f>+AB106+0</f>
        <v>4</v>
      </c>
      <c r="AE106" s="30">
        <f>+AC106+0</f>
        <v>245</v>
      </c>
      <c r="AF106" s="29">
        <f t="shared" si="132"/>
        <v>4</v>
      </c>
      <c r="AG106" s="30">
        <f t="shared" si="132"/>
        <v>245</v>
      </c>
      <c r="AH106" s="29">
        <f>+AF106+1</f>
        <v>5</v>
      </c>
      <c r="AI106" s="30">
        <f>+AG106+23</f>
        <v>268</v>
      </c>
      <c r="AJ106" s="29">
        <f t="shared" si="127"/>
        <v>5</v>
      </c>
      <c r="AK106" s="30">
        <f t="shared" si="118"/>
        <v>268</v>
      </c>
      <c r="AL106" s="29">
        <f>+AJ106+0</f>
        <v>5</v>
      </c>
      <c r="AM106" s="30">
        <f t="shared" si="117"/>
        <v>268</v>
      </c>
      <c r="AN106" s="99">
        <f t="shared" si="119"/>
        <v>5</v>
      </c>
      <c r="AO106" s="100">
        <f t="shared" si="120"/>
        <v>268</v>
      </c>
    </row>
    <row r="107" spans="1:41" x14ac:dyDescent="0.25">
      <c r="A107" s="68"/>
      <c r="B107" s="1" t="s">
        <v>81</v>
      </c>
      <c r="C107" s="1">
        <v>5</v>
      </c>
      <c r="D107" s="13">
        <f t="shared" si="129"/>
        <v>2.4630541871921183E-3</v>
      </c>
      <c r="E107" s="1">
        <f>40+90+34+40+67</f>
        <v>271</v>
      </c>
      <c r="F107" s="13">
        <f t="shared" si="103"/>
        <v>2.802134171560923E-3</v>
      </c>
      <c r="G107" s="16">
        <f t="shared" si="113"/>
        <v>54.2</v>
      </c>
      <c r="H107" s="2">
        <v>5</v>
      </c>
      <c r="I107" s="9"/>
      <c r="J107" s="1"/>
      <c r="K107" s="1"/>
      <c r="L107" s="1"/>
      <c r="M107" s="1"/>
      <c r="N107" s="29">
        <v>1</v>
      </c>
      <c r="O107" s="30">
        <v>51</v>
      </c>
      <c r="P107" s="29">
        <f t="shared" si="130"/>
        <v>1</v>
      </c>
      <c r="Q107" s="30">
        <f t="shared" si="130"/>
        <v>51</v>
      </c>
      <c r="R107" s="29">
        <f t="shared" si="125"/>
        <v>1</v>
      </c>
      <c r="S107" s="30">
        <f t="shared" si="125"/>
        <v>51</v>
      </c>
      <c r="T107" s="29">
        <f>+R107+0</f>
        <v>1</v>
      </c>
      <c r="U107" s="30">
        <f>+S107+0</f>
        <v>51</v>
      </c>
      <c r="V107" s="29">
        <f>+T107+0</f>
        <v>1</v>
      </c>
      <c r="W107" s="30">
        <f>+U107+0</f>
        <v>51</v>
      </c>
      <c r="X107" s="29">
        <f>+V107+4</f>
        <v>5</v>
      </c>
      <c r="Y107" s="30">
        <f>+W107+40+90+34+40</f>
        <v>255</v>
      </c>
      <c r="Z107" s="29">
        <f>+X107+0</f>
        <v>5</v>
      </c>
      <c r="AA107" s="30">
        <f>+Y107+0</f>
        <v>255</v>
      </c>
      <c r="AB107" s="29">
        <f t="shared" si="131"/>
        <v>5</v>
      </c>
      <c r="AC107" s="30">
        <f t="shared" si="131"/>
        <v>255</v>
      </c>
      <c r="AD107" s="29">
        <f>+AB107+0</f>
        <v>5</v>
      </c>
      <c r="AE107" s="30">
        <f>+AC107+0</f>
        <v>255</v>
      </c>
      <c r="AF107" s="29">
        <f t="shared" si="132"/>
        <v>5</v>
      </c>
      <c r="AG107" s="30">
        <f t="shared" si="132"/>
        <v>255</v>
      </c>
      <c r="AH107" s="29">
        <f>+AF107+0-1</f>
        <v>4</v>
      </c>
      <c r="AI107" s="30">
        <f>+AG107+0-51</f>
        <v>204</v>
      </c>
      <c r="AJ107" s="29">
        <f t="shared" si="127"/>
        <v>4</v>
      </c>
      <c r="AK107" s="30">
        <f t="shared" si="118"/>
        <v>204</v>
      </c>
      <c r="AL107" s="29">
        <f>+AJ107+0</f>
        <v>4</v>
      </c>
      <c r="AM107" s="30">
        <f t="shared" si="117"/>
        <v>204</v>
      </c>
      <c r="AN107" s="99">
        <f>+AL107+1</f>
        <v>5</v>
      </c>
      <c r="AO107" s="100">
        <f>+AM107+67</f>
        <v>271</v>
      </c>
    </row>
    <row r="108" spans="1:41" x14ac:dyDescent="0.25">
      <c r="A108" s="73" t="s">
        <v>138</v>
      </c>
      <c r="B108" s="74"/>
      <c r="C108" s="21">
        <f>SUM(C94:C107)</f>
        <v>449</v>
      </c>
      <c r="D108" s="14">
        <f t="shared" si="129"/>
        <v>0.22118226600985222</v>
      </c>
      <c r="E108" s="21">
        <f>SUM(E94:E107)</f>
        <v>22022</v>
      </c>
      <c r="F108" s="14">
        <f t="shared" si="103"/>
        <v>0.22770700636942676</v>
      </c>
      <c r="G108" s="17">
        <f t="shared" si="113"/>
        <v>49.046770601336306</v>
      </c>
      <c r="H108" s="18">
        <f>SUM(H94:H107)</f>
        <v>339</v>
      </c>
      <c r="I108" s="63">
        <f>+H108/$C$108</f>
        <v>0.75501113585746105</v>
      </c>
      <c r="J108" s="21">
        <f>SUM(J94:J107)</f>
        <v>107</v>
      </c>
      <c r="K108" s="63">
        <f>+J108/$C$108</f>
        <v>0.23830734966592429</v>
      </c>
      <c r="L108" s="21">
        <f>SUM(L94:L107)</f>
        <v>3</v>
      </c>
      <c r="M108" s="63">
        <f>+L108/$C$108</f>
        <v>6.6815144766146995E-3</v>
      </c>
      <c r="N108" s="24">
        <f t="shared" ref="N108:AO108" si="133">SUM(N94:N107)</f>
        <v>82</v>
      </c>
      <c r="O108" s="27">
        <f t="shared" si="133"/>
        <v>4571</v>
      </c>
      <c r="P108" s="24">
        <f t="shared" si="133"/>
        <v>85</v>
      </c>
      <c r="Q108" s="27">
        <f t="shared" si="133"/>
        <v>4725</v>
      </c>
      <c r="R108" s="24">
        <f t="shared" si="133"/>
        <v>88</v>
      </c>
      <c r="S108" s="27">
        <f t="shared" si="133"/>
        <v>4949</v>
      </c>
      <c r="T108" s="24">
        <f t="shared" si="133"/>
        <v>137</v>
      </c>
      <c r="U108" s="27">
        <f t="shared" si="133"/>
        <v>8179</v>
      </c>
      <c r="V108" s="24">
        <f t="shared" si="133"/>
        <v>156</v>
      </c>
      <c r="W108" s="27">
        <f t="shared" si="133"/>
        <v>9406</v>
      </c>
      <c r="X108" s="24">
        <f t="shared" si="133"/>
        <v>168</v>
      </c>
      <c r="Y108" s="27">
        <f t="shared" si="133"/>
        <v>9899</v>
      </c>
      <c r="Z108" s="24">
        <f t="shared" si="133"/>
        <v>245</v>
      </c>
      <c r="AA108" s="27">
        <f t="shared" si="133"/>
        <v>13604</v>
      </c>
      <c r="AB108" s="24">
        <f t="shared" si="133"/>
        <v>276</v>
      </c>
      <c r="AC108" s="27">
        <f t="shared" si="133"/>
        <v>14961</v>
      </c>
      <c r="AD108" s="24">
        <f t="shared" si="133"/>
        <v>325</v>
      </c>
      <c r="AE108" s="27">
        <f t="shared" si="133"/>
        <v>17218</v>
      </c>
      <c r="AF108" s="24">
        <f t="shared" si="133"/>
        <v>353</v>
      </c>
      <c r="AG108" s="27">
        <f t="shared" si="133"/>
        <v>18535</v>
      </c>
      <c r="AH108" s="24">
        <f t="shared" si="133"/>
        <v>364</v>
      </c>
      <c r="AI108" s="27">
        <f t="shared" si="133"/>
        <v>18908</v>
      </c>
      <c r="AJ108" s="24">
        <f t="shared" si="133"/>
        <v>383</v>
      </c>
      <c r="AK108" s="27">
        <f t="shared" si="133"/>
        <v>19666</v>
      </c>
      <c r="AL108" s="24">
        <f t="shared" si="133"/>
        <v>421</v>
      </c>
      <c r="AM108" s="27">
        <f t="shared" si="133"/>
        <v>20956</v>
      </c>
      <c r="AN108" s="24">
        <f t="shared" si="133"/>
        <v>449</v>
      </c>
      <c r="AO108" s="27">
        <f t="shared" si="133"/>
        <v>22022</v>
      </c>
    </row>
    <row r="109" spans="1:41" x14ac:dyDescent="0.25">
      <c r="A109" s="66">
        <v>9</v>
      </c>
      <c r="B109" s="1" t="s">
        <v>83</v>
      </c>
      <c r="C109" s="1">
        <v>16</v>
      </c>
      <c r="D109" s="13">
        <f t="shared" si="129"/>
        <v>7.8817733990147777E-3</v>
      </c>
      <c r="E109" s="1">
        <f>41+41+20+16+47+19+6+79+58+8+12+39+20+33+3+1+2+1+1+29+9</f>
        <v>485</v>
      </c>
      <c r="F109" s="13">
        <f t="shared" si="103"/>
        <v>5.0148895690296964E-3</v>
      </c>
      <c r="G109" s="16">
        <f t="shared" si="113"/>
        <v>30.3125</v>
      </c>
      <c r="H109" s="2">
        <v>10</v>
      </c>
      <c r="I109" s="9"/>
      <c r="J109" s="1">
        <v>5</v>
      </c>
      <c r="K109" s="1"/>
      <c r="L109" s="1">
        <v>1</v>
      </c>
      <c r="M109" s="1"/>
      <c r="N109" s="29">
        <v>5</v>
      </c>
      <c r="O109" s="30">
        <f>16+16+16+41+41+20+16+16+18</f>
        <v>200</v>
      </c>
      <c r="P109" s="29">
        <f t="shared" ref="P109:P117" si="134">+N109+0</f>
        <v>5</v>
      </c>
      <c r="Q109" s="30">
        <f t="shared" ref="Q109:S112" si="135">+O109+0</f>
        <v>200</v>
      </c>
      <c r="R109" s="29">
        <f t="shared" si="135"/>
        <v>5</v>
      </c>
      <c r="S109" s="30">
        <f t="shared" si="135"/>
        <v>200</v>
      </c>
      <c r="T109" s="29">
        <f>+R109+2</f>
        <v>7</v>
      </c>
      <c r="U109" s="30">
        <f>+S109+47+19</f>
        <v>266</v>
      </c>
      <c r="V109" s="29">
        <f>+T109+3-2</f>
        <v>8</v>
      </c>
      <c r="W109" s="30">
        <f>+U109+6+79+58-16-16-16-18</f>
        <v>343</v>
      </c>
      <c r="X109" s="29">
        <f>+V109+1</f>
        <v>9</v>
      </c>
      <c r="Y109" s="30">
        <f>+W109+8+12</f>
        <v>363</v>
      </c>
      <c r="Z109" s="29">
        <f>+X109+2</f>
        <v>11</v>
      </c>
      <c r="AA109" s="30">
        <f>+Y109+39+45+27</f>
        <v>474</v>
      </c>
      <c r="AB109" s="29">
        <f>+Z109+0</f>
        <v>11</v>
      </c>
      <c r="AC109" s="30">
        <f>+AA109+0</f>
        <v>474</v>
      </c>
      <c r="AD109" s="29">
        <f>+AB109+0</f>
        <v>11</v>
      </c>
      <c r="AE109" s="30">
        <f>+AC109+0</f>
        <v>474</v>
      </c>
      <c r="AF109" s="29">
        <f>+AD109+3</f>
        <v>14</v>
      </c>
      <c r="AG109" s="30">
        <f>+AE109+33+3+1+2+1+1-16</f>
        <v>499</v>
      </c>
      <c r="AH109" s="29">
        <f t="shared" ref="AH109:AI112" si="136">+AF109+0</f>
        <v>14</v>
      </c>
      <c r="AI109" s="30">
        <f t="shared" si="136"/>
        <v>499</v>
      </c>
      <c r="AJ109" s="29">
        <f>+AH109+2</f>
        <v>16</v>
      </c>
      <c r="AK109" s="30">
        <f>+AI109+29+9</f>
        <v>537</v>
      </c>
      <c r="AL109" s="29">
        <f>+AJ109+0</f>
        <v>16</v>
      </c>
      <c r="AM109" s="30">
        <f>+AK109+0-45-7</f>
        <v>485</v>
      </c>
      <c r="AN109" s="99">
        <f t="shared" si="119"/>
        <v>16</v>
      </c>
      <c r="AO109" s="100">
        <f t="shared" si="120"/>
        <v>485</v>
      </c>
    </row>
    <row r="110" spans="1:41" x14ac:dyDescent="0.25">
      <c r="A110" s="67"/>
      <c r="B110" s="1" t="s">
        <v>84</v>
      </c>
      <c r="C110" s="1">
        <v>23</v>
      </c>
      <c r="D110" s="13">
        <f t="shared" si="129"/>
        <v>1.1330049261083743E-2</v>
      </c>
      <c r="E110" s="1">
        <f>60+54+102+105+78+52+109+42+59+39+85+57+3+2+1+92+20+59+75+37+58+58+102+65+33</f>
        <v>1447</v>
      </c>
      <c r="F110" s="13">
        <f t="shared" si="103"/>
        <v>1.4961948879146331E-2</v>
      </c>
      <c r="G110" s="16">
        <f t="shared" si="113"/>
        <v>62.913043478260867</v>
      </c>
      <c r="H110" s="2">
        <v>22</v>
      </c>
      <c r="I110" s="9"/>
      <c r="J110" s="1">
        <v>1</v>
      </c>
      <c r="K110" s="1"/>
      <c r="L110" s="1"/>
      <c r="M110" s="1"/>
      <c r="N110" s="29">
        <v>1</v>
      </c>
      <c r="O110" s="30">
        <v>60</v>
      </c>
      <c r="P110" s="29">
        <f t="shared" si="134"/>
        <v>1</v>
      </c>
      <c r="Q110" s="30">
        <f t="shared" si="135"/>
        <v>60</v>
      </c>
      <c r="R110" s="29">
        <f t="shared" si="135"/>
        <v>1</v>
      </c>
      <c r="S110" s="30">
        <f t="shared" si="135"/>
        <v>60</v>
      </c>
      <c r="T110" s="29">
        <f>+R110+9</f>
        <v>10</v>
      </c>
      <c r="U110" s="30">
        <f>+S110+54+102+105+78+52+109+42+59+39</f>
        <v>700</v>
      </c>
      <c r="V110" s="29">
        <f>+T110+1</f>
        <v>11</v>
      </c>
      <c r="W110" s="30">
        <f>+U110+85</f>
        <v>785</v>
      </c>
      <c r="X110" s="29">
        <f t="shared" ref="X110:X116" si="137">+V110+0</f>
        <v>11</v>
      </c>
      <c r="Y110" s="30">
        <f t="shared" ref="Y110:AA112" si="138">+W110+0</f>
        <v>785</v>
      </c>
      <c r="Z110" s="29">
        <f t="shared" si="138"/>
        <v>11</v>
      </c>
      <c r="AA110" s="30">
        <f t="shared" si="138"/>
        <v>785</v>
      </c>
      <c r="AB110" s="29">
        <f>+Z110+4</f>
        <v>15</v>
      </c>
      <c r="AC110" s="30">
        <f>+AA110+57+3+2+1+92+23</f>
        <v>963</v>
      </c>
      <c r="AD110" s="29">
        <f>+AB110+5</f>
        <v>20</v>
      </c>
      <c r="AE110" s="30">
        <f>+AC110+20+59+75+37+58</f>
        <v>1212</v>
      </c>
      <c r="AF110" s="29">
        <f>+AD110+1</f>
        <v>21</v>
      </c>
      <c r="AG110" s="30">
        <f>+AE110+58</f>
        <v>1270</v>
      </c>
      <c r="AH110" s="29">
        <f t="shared" si="136"/>
        <v>21</v>
      </c>
      <c r="AI110" s="30">
        <f>+AG110+0</f>
        <v>1270</v>
      </c>
      <c r="AJ110" s="29">
        <f>+AH110+0-1</f>
        <v>20</v>
      </c>
      <c r="AK110" s="30">
        <f>+AI110+0-23</f>
        <v>1247</v>
      </c>
      <c r="AL110" s="29">
        <f>+AJ110+1</f>
        <v>21</v>
      </c>
      <c r="AM110" s="30">
        <f>+AK110+102</f>
        <v>1349</v>
      </c>
      <c r="AN110" s="99">
        <f>+AL110+2</f>
        <v>23</v>
      </c>
      <c r="AO110" s="100">
        <f>+AM110+65+33</f>
        <v>1447</v>
      </c>
    </row>
    <row r="111" spans="1:41" x14ac:dyDescent="0.25">
      <c r="A111" s="67"/>
      <c r="B111" s="1" t="s">
        <v>143</v>
      </c>
      <c r="C111" s="1">
        <v>1</v>
      </c>
      <c r="D111" s="13">
        <f t="shared" si="129"/>
        <v>4.9261083743842361E-4</v>
      </c>
      <c r="E111" s="1">
        <v>67</v>
      </c>
      <c r="F111" s="13">
        <f t="shared" si="103"/>
        <v>6.9277855902059719E-4</v>
      </c>
      <c r="G111" s="16">
        <f>IF(C111=0,"",E111/C111)</f>
        <v>67</v>
      </c>
      <c r="H111" s="2">
        <v>1</v>
      </c>
      <c r="I111" s="9"/>
      <c r="J111" s="1"/>
      <c r="K111" s="1"/>
      <c r="L111" s="1"/>
      <c r="M111" s="1"/>
      <c r="N111" s="29">
        <v>0</v>
      </c>
      <c r="O111" s="30">
        <v>0</v>
      </c>
      <c r="P111" s="29">
        <f t="shared" si="134"/>
        <v>0</v>
      </c>
      <c r="Q111" s="30">
        <f t="shared" si="135"/>
        <v>0</v>
      </c>
      <c r="R111" s="29">
        <f t="shared" si="135"/>
        <v>0</v>
      </c>
      <c r="S111" s="30">
        <f t="shared" si="135"/>
        <v>0</v>
      </c>
      <c r="T111" s="29">
        <f t="shared" ref="T111:W112" si="139">+R111+0</f>
        <v>0</v>
      </c>
      <c r="U111" s="30">
        <f t="shared" si="139"/>
        <v>0</v>
      </c>
      <c r="V111" s="29">
        <f t="shared" si="139"/>
        <v>0</v>
      </c>
      <c r="W111" s="30">
        <f t="shared" si="139"/>
        <v>0</v>
      </c>
      <c r="X111" s="29">
        <f t="shared" si="137"/>
        <v>0</v>
      </c>
      <c r="Y111" s="30">
        <f t="shared" si="138"/>
        <v>0</v>
      </c>
      <c r="Z111" s="29">
        <f t="shared" si="138"/>
        <v>0</v>
      </c>
      <c r="AA111" s="30">
        <f t="shared" si="138"/>
        <v>0</v>
      </c>
      <c r="AB111" s="29">
        <f t="shared" ref="AB111:AG112" si="140">+Z111+0</f>
        <v>0</v>
      </c>
      <c r="AC111" s="30">
        <f t="shared" si="140"/>
        <v>0</v>
      </c>
      <c r="AD111" s="29">
        <f t="shared" si="140"/>
        <v>0</v>
      </c>
      <c r="AE111" s="30">
        <f t="shared" si="140"/>
        <v>0</v>
      </c>
      <c r="AF111" s="29">
        <f t="shared" si="140"/>
        <v>0</v>
      </c>
      <c r="AG111" s="30">
        <f t="shared" si="140"/>
        <v>0</v>
      </c>
      <c r="AH111" s="29">
        <f t="shared" si="136"/>
        <v>0</v>
      </c>
      <c r="AI111" s="30">
        <f t="shared" si="136"/>
        <v>0</v>
      </c>
      <c r="AJ111" s="29">
        <f>+AH111+0</f>
        <v>0</v>
      </c>
      <c r="AK111" s="30">
        <f>+AI111+0</f>
        <v>0</v>
      </c>
      <c r="AL111" s="29">
        <f>+AJ111+1</f>
        <v>1</v>
      </c>
      <c r="AM111" s="30">
        <f>+AK111+67</f>
        <v>67</v>
      </c>
      <c r="AN111" s="99">
        <f t="shared" si="119"/>
        <v>1</v>
      </c>
      <c r="AO111" s="100">
        <f t="shared" si="120"/>
        <v>67</v>
      </c>
    </row>
    <row r="112" spans="1:41" x14ac:dyDescent="0.25">
      <c r="A112" s="67"/>
      <c r="B112" s="1" t="s">
        <v>85</v>
      </c>
      <c r="C112" s="1">
        <v>2</v>
      </c>
      <c r="D112" s="13">
        <f t="shared" si="129"/>
        <v>9.8522167487684722E-4</v>
      </c>
      <c r="E112" s="1">
        <v>110</v>
      </c>
      <c r="F112" s="13">
        <f t="shared" si="103"/>
        <v>1.1373976342129207E-3</v>
      </c>
      <c r="G112" s="16">
        <f t="shared" si="113"/>
        <v>55</v>
      </c>
      <c r="H112" s="2">
        <v>1</v>
      </c>
      <c r="I112" s="9"/>
      <c r="J112" s="1">
        <v>1</v>
      </c>
      <c r="K112" s="1"/>
      <c r="L112" s="1"/>
      <c r="M112" s="1"/>
      <c r="N112" s="29">
        <v>2</v>
      </c>
      <c r="O112" s="30">
        <f>32+14+64</f>
        <v>110</v>
      </c>
      <c r="P112" s="29">
        <f t="shared" si="134"/>
        <v>2</v>
      </c>
      <c r="Q112" s="30">
        <f t="shared" si="135"/>
        <v>110</v>
      </c>
      <c r="R112" s="29">
        <f t="shared" si="135"/>
        <v>2</v>
      </c>
      <c r="S112" s="30">
        <f t="shared" si="135"/>
        <v>110</v>
      </c>
      <c r="T112" s="29">
        <f t="shared" si="139"/>
        <v>2</v>
      </c>
      <c r="U112" s="30">
        <f t="shared" si="139"/>
        <v>110</v>
      </c>
      <c r="V112" s="29">
        <f t="shared" si="139"/>
        <v>2</v>
      </c>
      <c r="W112" s="30">
        <f t="shared" si="139"/>
        <v>110</v>
      </c>
      <c r="X112" s="29">
        <f t="shared" si="137"/>
        <v>2</v>
      </c>
      <c r="Y112" s="30">
        <f t="shared" si="138"/>
        <v>110</v>
      </c>
      <c r="Z112" s="29">
        <f t="shared" si="138"/>
        <v>2</v>
      </c>
      <c r="AA112" s="30">
        <f t="shared" si="138"/>
        <v>110</v>
      </c>
      <c r="AB112" s="29">
        <f t="shared" si="140"/>
        <v>2</v>
      </c>
      <c r="AC112" s="30">
        <f t="shared" si="140"/>
        <v>110</v>
      </c>
      <c r="AD112" s="29">
        <f t="shared" si="140"/>
        <v>2</v>
      </c>
      <c r="AE112" s="30">
        <f t="shared" si="140"/>
        <v>110</v>
      </c>
      <c r="AF112" s="29">
        <f t="shared" si="140"/>
        <v>2</v>
      </c>
      <c r="AG112" s="30">
        <f t="shared" si="140"/>
        <v>110</v>
      </c>
      <c r="AH112" s="29">
        <f t="shared" si="136"/>
        <v>2</v>
      </c>
      <c r="AI112" s="30">
        <f t="shared" si="136"/>
        <v>110</v>
      </c>
      <c r="AJ112" s="29">
        <f>+AH112+0</f>
        <v>2</v>
      </c>
      <c r="AK112" s="30">
        <f>+AI112+0</f>
        <v>110</v>
      </c>
      <c r="AL112" s="29">
        <f t="shared" ref="AL112:AL117" si="141">+AJ112+0</f>
        <v>2</v>
      </c>
      <c r="AM112" s="30">
        <f t="shared" ref="AM112:AM127" si="142">+AK112+0</f>
        <v>110</v>
      </c>
      <c r="AN112" s="99">
        <f t="shared" si="119"/>
        <v>2</v>
      </c>
      <c r="AO112" s="100">
        <f t="shared" si="120"/>
        <v>110</v>
      </c>
    </row>
    <row r="113" spans="1:41" x14ac:dyDescent="0.25">
      <c r="A113" s="67"/>
      <c r="B113" s="1" t="s">
        <v>86</v>
      </c>
      <c r="C113" s="1">
        <v>20</v>
      </c>
      <c r="D113" s="13">
        <f t="shared" si="129"/>
        <v>9.852216748768473E-3</v>
      </c>
      <c r="E113" s="1">
        <f>50+7+7+7+53+53+43+14+14+42+42+25+25+13+78+32+59+21+20+8+20+12+12+6+6+6+87+12+12+10+23+10+23+28+28+14+3+3+3+3+3+3+3+3+24+25+20+13+44+17</f>
        <v>1089</v>
      </c>
      <c r="F113" s="13">
        <f>+E113/$E$158</f>
        <v>1.1260236578707917E-2</v>
      </c>
      <c r="G113" s="16">
        <f t="shared" si="113"/>
        <v>54.45</v>
      </c>
      <c r="H113" s="2">
        <v>7</v>
      </c>
      <c r="I113" s="9"/>
      <c r="J113" s="1">
        <v>10</v>
      </c>
      <c r="K113" s="1"/>
      <c r="L113" s="1">
        <v>3</v>
      </c>
      <c r="M113" s="1"/>
      <c r="N113" s="29">
        <v>4</v>
      </c>
      <c r="O113" s="30">
        <f>50+7+7+7+53+53+43</f>
        <v>220</v>
      </c>
      <c r="P113" s="29">
        <f t="shared" si="134"/>
        <v>4</v>
      </c>
      <c r="Q113" s="30">
        <f t="shared" ref="Q113:Q118" si="143">+O113+0</f>
        <v>220</v>
      </c>
      <c r="R113" s="29">
        <f>+P113+2</f>
        <v>6</v>
      </c>
      <c r="S113" s="30">
        <f>+Q113+14+14+42+42+25+25+13</f>
        <v>395</v>
      </c>
      <c r="T113" s="29">
        <f>+R113+3</f>
        <v>9</v>
      </c>
      <c r="U113" s="30">
        <f>+S113+78+32+59</f>
        <v>564</v>
      </c>
      <c r="V113" s="29">
        <f>+T113+1</f>
        <v>10</v>
      </c>
      <c r="W113" s="30">
        <f>+U113+21</f>
        <v>585</v>
      </c>
      <c r="X113" s="29">
        <f t="shared" si="137"/>
        <v>10</v>
      </c>
      <c r="Y113" s="30">
        <f>+W113+0</f>
        <v>585</v>
      </c>
      <c r="Z113" s="29">
        <f>+X113+2</f>
        <v>12</v>
      </c>
      <c r="AA113" s="30">
        <f>+Y113+20+8+20+12+12+6+6+6</f>
        <v>675</v>
      </c>
      <c r="AB113" s="29">
        <f>+Z113+2</f>
        <v>14</v>
      </c>
      <c r="AC113" s="30">
        <f>+AA113+87+12+12+10</f>
        <v>796</v>
      </c>
      <c r="AD113" s="29">
        <f>+AB113+2</f>
        <v>16</v>
      </c>
      <c r="AE113" s="30">
        <f>+AC113+23+10+23+28+28+14</f>
        <v>922</v>
      </c>
      <c r="AF113" s="29">
        <f>+AD113+2</f>
        <v>18</v>
      </c>
      <c r="AG113" s="30">
        <f>+AE113+3+3+3+3+3+3+3+3+24+25+20</f>
        <v>1015</v>
      </c>
      <c r="AH113" s="29">
        <f>+AF113+0</f>
        <v>18</v>
      </c>
      <c r="AI113" s="30">
        <f>+AG113+13</f>
        <v>1028</v>
      </c>
      <c r="AJ113" s="29">
        <f>+AH113+2</f>
        <v>20</v>
      </c>
      <c r="AK113" s="30">
        <f>+AI113+44+17</f>
        <v>1089</v>
      </c>
      <c r="AL113" s="29">
        <f t="shared" si="141"/>
        <v>20</v>
      </c>
      <c r="AM113" s="30">
        <f t="shared" si="142"/>
        <v>1089</v>
      </c>
      <c r="AN113" s="99">
        <f t="shared" si="119"/>
        <v>20</v>
      </c>
      <c r="AO113" s="100">
        <f t="shared" si="120"/>
        <v>1089</v>
      </c>
    </row>
    <row r="114" spans="1:41" x14ac:dyDescent="0.25">
      <c r="A114" s="67"/>
      <c r="B114" s="1" t="s">
        <v>87</v>
      </c>
      <c r="C114" s="1">
        <v>1</v>
      </c>
      <c r="D114" s="13">
        <f t="shared" si="129"/>
        <v>4.9261083743842361E-4</v>
      </c>
      <c r="E114" s="1">
        <v>42</v>
      </c>
      <c r="F114" s="13">
        <f t="shared" ref="F114:F129" si="144">+E114/$E$158</f>
        <v>4.3427909669947886E-4</v>
      </c>
      <c r="G114" s="16">
        <f t="shared" si="113"/>
        <v>42</v>
      </c>
      <c r="H114" s="2"/>
      <c r="I114" s="9"/>
      <c r="J114" s="1"/>
      <c r="K114" s="1"/>
      <c r="L114" s="1">
        <v>1</v>
      </c>
      <c r="M114" s="1"/>
      <c r="N114" s="29">
        <v>1</v>
      </c>
      <c r="O114" s="30">
        <v>42</v>
      </c>
      <c r="P114" s="29">
        <f t="shared" si="134"/>
        <v>1</v>
      </c>
      <c r="Q114" s="30">
        <f t="shared" si="143"/>
        <v>42</v>
      </c>
      <c r="R114" s="29">
        <f t="shared" ref="R114:W116" si="145">+P114+0</f>
        <v>1</v>
      </c>
      <c r="S114" s="30">
        <f t="shared" si="145"/>
        <v>42</v>
      </c>
      <c r="T114" s="29">
        <f t="shared" si="145"/>
        <v>1</v>
      </c>
      <c r="U114" s="30">
        <f t="shared" si="145"/>
        <v>42</v>
      </c>
      <c r="V114" s="29">
        <f t="shared" si="145"/>
        <v>1</v>
      </c>
      <c r="W114" s="30">
        <f t="shared" si="145"/>
        <v>42</v>
      </c>
      <c r="X114" s="29">
        <f t="shared" si="137"/>
        <v>1</v>
      </c>
      <c r="Y114" s="30">
        <f>+W114+0</f>
        <v>42</v>
      </c>
      <c r="Z114" s="29">
        <f>+X114+0</f>
        <v>1</v>
      </c>
      <c r="AA114" s="30">
        <f>+Y114+0</f>
        <v>42</v>
      </c>
      <c r="AB114" s="29">
        <v>1</v>
      </c>
      <c r="AC114" s="30">
        <f>+AA114+0</f>
        <v>42</v>
      </c>
      <c r="AD114" s="29">
        <f>+AB114+0</f>
        <v>1</v>
      </c>
      <c r="AE114" s="30">
        <f>+AC114+0</f>
        <v>42</v>
      </c>
      <c r="AF114" s="29">
        <f>+AD114+0</f>
        <v>1</v>
      </c>
      <c r="AG114" s="30">
        <f>+AE114+0</f>
        <v>42</v>
      </c>
      <c r="AH114" s="29">
        <f>+AF114+0</f>
        <v>1</v>
      </c>
      <c r="AI114" s="30">
        <f t="shared" ref="AI114:AK115" si="146">+AG114+0</f>
        <v>42</v>
      </c>
      <c r="AJ114" s="29">
        <f t="shared" si="146"/>
        <v>1</v>
      </c>
      <c r="AK114" s="30">
        <f t="shared" si="146"/>
        <v>42</v>
      </c>
      <c r="AL114" s="29">
        <f t="shared" si="141"/>
        <v>1</v>
      </c>
      <c r="AM114" s="30">
        <f t="shared" si="142"/>
        <v>42</v>
      </c>
      <c r="AN114" s="99">
        <f t="shared" si="119"/>
        <v>1</v>
      </c>
      <c r="AO114" s="100">
        <f t="shared" si="120"/>
        <v>42</v>
      </c>
    </row>
    <row r="115" spans="1:41" x14ac:dyDescent="0.25">
      <c r="A115" s="67"/>
      <c r="B115" s="1" t="s">
        <v>88</v>
      </c>
      <c r="C115" s="1">
        <v>3</v>
      </c>
      <c r="D115" s="13">
        <f t="shared" si="129"/>
        <v>1.477832512315271E-3</v>
      </c>
      <c r="E115" s="1">
        <v>135</v>
      </c>
      <c r="F115" s="13">
        <f t="shared" si="144"/>
        <v>1.3958970965340391E-3</v>
      </c>
      <c r="G115" s="16">
        <f t="shared" si="113"/>
        <v>45</v>
      </c>
      <c r="H115" s="2">
        <v>2</v>
      </c>
      <c r="I115" s="9"/>
      <c r="J115" s="1">
        <v>1</v>
      </c>
      <c r="K115" s="1"/>
      <c r="L115" s="1"/>
      <c r="M115" s="1"/>
      <c r="N115" s="29">
        <v>1</v>
      </c>
      <c r="O115" s="30">
        <v>39</v>
      </c>
      <c r="P115" s="29">
        <f t="shared" si="134"/>
        <v>1</v>
      </c>
      <c r="Q115" s="30">
        <f t="shared" si="143"/>
        <v>39</v>
      </c>
      <c r="R115" s="29">
        <f t="shared" si="145"/>
        <v>1</v>
      </c>
      <c r="S115" s="30">
        <f t="shared" si="145"/>
        <v>39</v>
      </c>
      <c r="T115" s="29">
        <f t="shared" si="145"/>
        <v>1</v>
      </c>
      <c r="U115" s="30">
        <f t="shared" si="145"/>
        <v>39</v>
      </c>
      <c r="V115" s="29">
        <f t="shared" si="145"/>
        <v>1</v>
      </c>
      <c r="W115" s="30">
        <f t="shared" si="145"/>
        <v>39</v>
      </c>
      <c r="X115" s="29">
        <f t="shared" si="137"/>
        <v>1</v>
      </c>
      <c r="Y115" s="30">
        <f>+W115+0</f>
        <v>39</v>
      </c>
      <c r="Z115" s="29">
        <f>+X115+1</f>
        <v>2</v>
      </c>
      <c r="AA115" s="30">
        <f>+Y115+25+25+11</f>
        <v>100</v>
      </c>
      <c r="AB115" s="29">
        <f>+Z115+1</f>
        <v>3</v>
      </c>
      <c r="AC115" s="30">
        <f>+AA115+35</f>
        <v>135</v>
      </c>
      <c r="AD115" s="29">
        <f t="shared" ref="AD115:AG117" si="147">+AB115+0</f>
        <v>3</v>
      </c>
      <c r="AE115" s="30">
        <f t="shared" si="147"/>
        <v>135</v>
      </c>
      <c r="AF115" s="29">
        <f t="shared" si="147"/>
        <v>3</v>
      </c>
      <c r="AG115" s="30">
        <f t="shared" si="147"/>
        <v>135</v>
      </c>
      <c r="AH115" s="29">
        <f>+AF115+0</f>
        <v>3</v>
      </c>
      <c r="AI115" s="30">
        <f t="shared" si="146"/>
        <v>135</v>
      </c>
      <c r="AJ115" s="29">
        <f t="shared" si="146"/>
        <v>3</v>
      </c>
      <c r="AK115" s="30">
        <f t="shared" si="146"/>
        <v>135</v>
      </c>
      <c r="AL115" s="29">
        <f t="shared" si="141"/>
        <v>3</v>
      </c>
      <c r="AM115" s="30">
        <f t="shared" si="142"/>
        <v>135</v>
      </c>
      <c r="AN115" s="99">
        <f t="shared" si="119"/>
        <v>3</v>
      </c>
      <c r="AO115" s="100">
        <f t="shared" si="120"/>
        <v>135</v>
      </c>
    </row>
    <row r="116" spans="1:41" x14ac:dyDescent="0.25">
      <c r="A116" s="67"/>
      <c r="B116" s="1" t="s">
        <v>125</v>
      </c>
      <c r="C116" s="1">
        <v>1</v>
      </c>
      <c r="D116" s="13">
        <f t="shared" si="129"/>
        <v>4.9261083743842361E-4</v>
      </c>
      <c r="E116" s="1">
        <v>40</v>
      </c>
      <c r="F116" s="13">
        <f t="shared" si="144"/>
        <v>4.1359913971378937E-4</v>
      </c>
      <c r="G116" s="16">
        <f t="shared" si="113"/>
        <v>40</v>
      </c>
      <c r="H116" s="2">
        <v>1</v>
      </c>
      <c r="I116" s="9"/>
      <c r="J116" s="1"/>
      <c r="K116" s="1"/>
      <c r="L116" s="1"/>
      <c r="M116" s="1"/>
      <c r="N116" s="29">
        <v>0</v>
      </c>
      <c r="O116" s="30">
        <v>0</v>
      </c>
      <c r="P116" s="29">
        <f t="shared" si="134"/>
        <v>0</v>
      </c>
      <c r="Q116" s="30">
        <f t="shared" si="143"/>
        <v>0</v>
      </c>
      <c r="R116" s="29">
        <f t="shared" si="145"/>
        <v>0</v>
      </c>
      <c r="S116" s="30">
        <f t="shared" si="145"/>
        <v>0</v>
      </c>
      <c r="T116" s="29">
        <f t="shared" si="145"/>
        <v>0</v>
      </c>
      <c r="U116" s="30">
        <f t="shared" si="145"/>
        <v>0</v>
      </c>
      <c r="V116" s="29">
        <f t="shared" si="145"/>
        <v>0</v>
      </c>
      <c r="W116" s="30">
        <f t="shared" si="145"/>
        <v>0</v>
      </c>
      <c r="X116" s="29">
        <f t="shared" si="137"/>
        <v>0</v>
      </c>
      <c r="Y116" s="30">
        <f>+W116+0</f>
        <v>0</v>
      </c>
      <c r="Z116" s="29">
        <f t="shared" ref="Z116:AC117" si="148">+X116+0</f>
        <v>0</v>
      </c>
      <c r="AA116" s="30">
        <f t="shared" si="148"/>
        <v>0</v>
      </c>
      <c r="AB116" s="29">
        <f t="shared" si="148"/>
        <v>0</v>
      </c>
      <c r="AC116" s="30">
        <f t="shared" si="148"/>
        <v>0</v>
      </c>
      <c r="AD116" s="29">
        <f t="shared" si="147"/>
        <v>0</v>
      </c>
      <c r="AE116" s="30">
        <f t="shared" si="147"/>
        <v>0</v>
      </c>
      <c r="AF116" s="29">
        <f t="shared" si="147"/>
        <v>0</v>
      </c>
      <c r="AG116" s="30">
        <f t="shared" si="147"/>
        <v>0</v>
      </c>
      <c r="AH116" s="29">
        <f>+AF116+1</f>
        <v>1</v>
      </c>
      <c r="AI116" s="30">
        <f>+AG116+40</f>
        <v>40</v>
      </c>
      <c r="AJ116" s="29">
        <f>+AH116+0</f>
        <v>1</v>
      </c>
      <c r="AK116" s="30">
        <f>+AI116+0</f>
        <v>40</v>
      </c>
      <c r="AL116" s="29">
        <f t="shared" si="141"/>
        <v>1</v>
      </c>
      <c r="AM116" s="30">
        <f t="shared" si="142"/>
        <v>40</v>
      </c>
      <c r="AN116" s="99">
        <f t="shared" si="119"/>
        <v>1</v>
      </c>
      <c r="AO116" s="100">
        <f t="shared" si="120"/>
        <v>40</v>
      </c>
    </row>
    <row r="117" spans="1:41" x14ac:dyDescent="0.25">
      <c r="A117" s="67"/>
      <c r="B117" s="1" t="s">
        <v>89</v>
      </c>
      <c r="C117" s="1">
        <v>3</v>
      </c>
      <c r="D117" s="13">
        <f t="shared" si="129"/>
        <v>1.477832512315271E-3</v>
      </c>
      <c r="E117" s="1">
        <v>161</v>
      </c>
      <c r="F117" s="13">
        <f t="shared" si="144"/>
        <v>1.6647365373480022E-3</v>
      </c>
      <c r="G117" s="16">
        <f t="shared" si="113"/>
        <v>53.666666666666664</v>
      </c>
      <c r="H117" s="2">
        <v>3</v>
      </c>
      <c r="I117" s="9"/>
      <c r="J117" s="1"/>
      <c r="K117" s="1"/>
      <c r="L117" s="1"/>
      <c r="M117" s="1"/>
      <c r="N117" s="29">
        <v>0</v>
      </c>
      <c r="O117" s="30">
        <v>0</v>
      </c>
      <c r="P117" s="29">
        <f t="shared" si="134"/>
        <v>0</v>
      </c>
      <c r="Q117" s="30">
        <f t="shared" si="143"/>
        <v>0</v>
      </c>
      <c r="R117" s="29">
        <f t="shared" ref="R117:U118" si="149">+P117+0</f>
        <v>0</v>
      </c>
      <c r="S117" s="30">
        <f t="shared" si="149"/>
        <v>0</v>
      </c>
      <c r="T117" s="29">
        <f t="shared" si="149"/>
        <v>0</v>
      </c>
      <c r="U117" s="30">
        <f t="shared" si="149"/>
        <v>0</v>
      </c>
      <c r="V117" s="29">
        <f>+T117+2</f>
        <v>2</v>
      </c>
      <c r="W117" s="30">
        <f>+U117+72+18</f>
        <v>90</v>
      </c>
      <c r="X117" s="29">
        <f>+V117+1</f>
        <v>3</v>
      </c>
      <c r="Y117" s="30">
        <f>+W117+71</f>
        <v>161</v>
      </c>
      <c r="Z117" s="29">
        <f t="shared" si="148"/>
        <v>3</v>
      </c>
      <c r="AA117" s="30">
        <f t="shared" si="148"/>
        <v>161</v>
      </c>
      <c r="AB117" s="29">
        <f t="shared" si="148"/>
        <v>3</v>
      </c>
      <c r="AC117" s="30">
        <f t="shared" si="148"/>
        <v>161</v>
      </c>
      <c r="AD117" s="29">
        <f t="shared" si="147"/>
        <v>3</v>
      </c>
      <c r="AE117" s="30">
        <f t="shared" si="147"/>
        <v>161</v>
      </c>
      <c r="AF117" s="29">
        <f t="shared" si="147"/>
        <v>3</v>
      </c>
      <c r="AG117" s="30">
        <f t="shared" si="147"/>
        <v>161</v>
      </c>
      <c r="AH117" s="29">
        <f>+AF117+0</f>
        <v>3</v>
      </c>
      <c r="AI117" s="30">
        <f>+AG117+0</f>
        <v>161</v>
      </c>
      <c r="AJ117" s="29">
        <f>+AH117+0</f>
        <v>3</v>
      </c>
      <c r="AK117" s="30">
        <f>+AI117+0</f>
        <v>161</v>
      </c>
      <c r="AL117" s="29">
        <f t="shared" si="141"/>
        <v>3</v>
      </c>
      <c r="AM117" s="30">
        <f t="shared" si="142"/>
        <v>161</v>
      </c>
      <c r="AN117" s="99">
        <f t="shared" si="119"/>
        <v>3</v>
      </c>
      <c r="AO117" s="100">
        <f t="shared" si="120"/>
        <v>161</v>
      </c>
    </row>
    <row r="118" spans="1:41" x14ac:dyDescent="0.25">
      <c r="A118" s="67"/>
      <c r="B118" s="1" t="s">
        <v>90</v>
      </c>
      <c r="C118" s="1">
        <v>1</v>
      </c>
      <c r="D118" s="13">
        <f t="shared" si="129"/>
        <v>4.9261083743842361E-4</v>
      </c>
      <c r="E118" s="1">
        <v>102</v>
      </c>
      <c r="F118" s="13">
        <f t="shared" si="144"/>
        <v>1.054677806270163E-3</v>
      </c>
      <c r="G118" s="16">
        <f t="shared" si="113"/>
        <v>102</v>
      </c>
      <c r="H118" s="2">
        <v>1</v>
      </c>
      <c r="I118" s="9"/>
      <c r="J118" s="1"/>
      <c r="K118" s="1"/>
      <c r="L118" s="1"/>
      <c r="M118" s="1"/>
      <c r="N118" s="29">
        <v>0</v>
      </c>
      <c r="O118" s="30">
        <v>0</v>
      </c>
      <c r="P118" s="29">
        <f>+N118+0</f>
        <v>0</v>
      </c>
      <c r="Q118" s="30">
        <f t="shared" si="143"/>
        <v>0</v>
      </c>
      <c r="R118" s="29">
        <f t="shared" si="149"/>
        <v>0</v>
      </c>
      <c r="S118" s="30">
        <f t="shared" si="149"/>
        <v>0</v>
      </c>
      <c r="T118" s="29">
        <f t="shared" si="149"/>
        <v>0</v>
      </c>
      <c r="U118" s="30">
        <f t="shared" si="149"/>
        <v>0</v>
      </c>
      <c r="V118" s="29">
        <f t="shared" ref="V118:AA119" si="150">+T118+0</f>
        <v>0</v>
      </c>
      <c r="W118" s="30">
        <f t="shared" si="150"/>
        <v>0</v>
      </c>
      <c r="X118" s="29">
        <f t="shared" si="150"/>
        <v>0</v>
      </c>
      <c r="Y118" s="30">
        <f t="shared" si="150"/>
        <v>0</v>
      </c>
      <c r="Z118" s="29">
        <f t="shared" si="150"/>
        <v>0</v>
      </c>
      <c r="AA118" s="30">
        <f t="shared" si="150"/>
        <v>0</v>
      </c>
      <c r="AB118" s="29">
        <f t="shared" ref="AB118:AL118" si="151">+Z118+0</f>
        <v>0</v>
      </c>
      <c r="AC118" s="30">
        <f>+AA118+0</f>
        <v>0</v>
      </c>
      <c r="AD118" s="29">
        <f>+AB118+1</f>
        <v>1</v>
      </c>
      <c r="AE118" s="30">
        <f>+AC118+102</f>
        <v>102</v>
      </c>
      <c r="AF118" s="29">
        <f t="shared" si="151"/>
        <v>1</v>
      </c>
      <c r="AG118" s="30">
        <f>+AE118+0</f>
        <v>102</v>
      </c>
      <c r="AH118" s="29">
        <f t="shared" si="151"/>
        <v>1</v>
      </c>
      <c r="AI118" s="30">
        <f t="shared" ref="AI118:AI125" si="152">+AG118+0</f>
        <v>102</v>
      </c>
      <c r="AJ118" s="29">
        <f t="shared" si="151"/>
        <v>1</v>
      </c>
      <c r="AK118" s="30">
        <f>+AI118+0</f>
        <v>102</v>
      </c>
      <c r="AL118" s="29">
        <f t="shared" si="151"/>
        <v>1</v>
      </c>
      <c r="AM118" s="30">
        <f t="shared" si="142"/>
        <v>102</v>
      </c>
      <c r="AN118" s="99">
        <f t="shared" si="119"/>
        <v>1</v>
      </c>
      <c r="AO118" s="100">
        <f t="shared" si="120"/>
        <v>102</v>
      </c>
    </row>
    <row r="119" spans="1:41" x14ac:dyDescent="0.25">
      <c r="A119" s="67"/>
      <c r="B119" s="1" t="s">
        <v>91</v>
      </c>
      <c r="C119" s="1">
        <v>12</v>
      </c>
      <c r="D119" s="13">
        <f t="shared" si="129"/>
        <v>5.9113300492610842E-3</v>
      </c>
      <c r="E119" s="1">
        <f>341+24+7+1+3</f>
        <v>376</v>
      </c>
      <c r="F119" s="13">
        <f t="shared" si="144"/>
        <v>3.8878319133096202E-3</v>
      </c>
      <c r="G119" s="16">
        <f t="shared" si="113"/>
        <v>31.333333333333332</v>
      </c>
      <c r="H119" s="2">
        <v>7</v>
      </c>
      <c r="I119" s="9"/>
      <c r="J119" s="1">
        <v>2</v>
      </c>
      <c r="K119" s="1"/>
      <c r="L119" s="1">
        <v>3</v>
      </c>
      <c r="M119" s="1"/>
      <c r="N119" s="29">
        <v>3</v>
      </c>
      <c r="O119" s="30">
        <f>52+90+9+9+11</f>
        <v>171</v>
      </c>
      <c r="P119" s="29">
        <f>+N119+1</f>
        <v>4</v>
      </c>
      <c r="Q119" s="30">
        <f>+O119+30</f>
        <v>201</v>
      </c>
      <c r="R119" s="29">
        <f t="shared" ref="R119:S125" si="153">+P119+0</f>
        <v>4</v>
      </c>
      <c r="S119" s="30">
        <f t="shared" si="153"/>
        <v>201</v>
      </c>
      <c r="T119" s="29">
        <f>+R119+1</f>
        <v>5</v>
      </c>
      <c r="U119" s="30">
        <f>+S119+24</f>
        <v>225</v>
      </c>
      <c r="V119" s="29">
        <f t="shared" si="150"/>
        <v>5</v>
      </c>
      <c r="W119" s="30">
        <f t="shared" si="150"/>
        <v>225</v>
      </c>
      <c r="X119" s="29">
        <f t="shared" si="150"/>
        <v>5</v>
      </c>
      <c r="Y119" s="30">
        <f t="shared" si="150"/>
        <v>225</v>
      </c>
      <c r="Z119" s="29">
        <f t="shared" si="150"/>
        <v>5</v>
      </c>
      <c r="AA119" s="30">
        <f t="shared" si="150"/>
        <v>225</v>
      </c>
      <c r="AB119" s="29">
        <f>+Z119+5</f>
        <v>10</v>
      </c>
      <c r="AC119" s="30">
        <f>+AA119+20+10+20+32+34</f>
        <v>341</v>
      </c>
      <c r="AD119" s="29">
        <f t="shared" ref="AD119:AF120" si="154">+AB119+0</f>
        <v>10</v>
      </c>
      <c r="AE119" s="30">
        <f t="shared" si="154"/>
        <v>341</v>
      </c>
      <c r="AF119" s="29">
        <f t="shared" si="154"/>
        <v>10</v>
      </c>
      <c r="AG119" s="30">
        <f>+AE119+0</f>
        <v>341</v>
      </c>
      <c r="AH119" s="29">
        <f t="shared" ref="AH119:AH125" si="155">+AF119+0</f>
        <v>10</v>
      </c>
      <c r="AI119" s="30">
        <f t="shared" si="152"/>
        <v>341</v>
      </c>
      <c r="AJ119" s="29">
        <f>+AH119+2</f>
        <v>12</v>
      </c>
      <c r="AK119" s="30">
        <f>+AI119+24+7+1+3</f>
        <v>376</v>
      </c>
      <c r="AL119" s="29">
        <f t="shared" ref="AL119:AL133" si="156">+AJ119+0</f>
        <v>12</v>
      </c>
      <c r="AM119" s="30">
        <f t="shared" si="142"/>
        <v>376</v>
      </c>
      <c r="AN119" s="99">
        <f t="shared" si="119"/>
        <v>12</v>
      </c>
      <c r="AO119" s="100">
        <f t="shared" si="120"/>
        <v>376</v>
      </c>
    </row>
    <row r="120" spans="1:41" x14ac:dyDescent="0.25">
      <c r="A120" s="67"/>
      <c r="B120" s="1" t="s">
        <v>92</v>
      </c>
      <c r="C120" s="1">
        <v>4</v>
      </c>
      <c r="D120" s="13">
        <f t="shared" si="129"/>
        <v>1.9704433497536944E-3</v>
      </c>
      <c r="E120" s="1">
        <v>172</v>
      </c>
      <c r="F120" s="13">
        <f t="shared" si="144"/>
        <v>1.7784763007692944E-3</v>
      </c>
      <c r="G120" s="16">
        <f t="shared" si="113"/>
        <v>43</v>
      </c>
      <c r="H120" s="2">
        <v>3</v>
      </c>
      <c r="I120" s="9"/>
      <c r="J120" s="1"/>
      <c r="K120" s="1"/>
      <c r="L120" s="1">
        <v>1</v>
      </c>
      <c r="M120" s="1"/>
      <c r="N120" s="29">
        <v>0</v>
      </c>
      <c r="O120" s="30">
        <v>0</v>
      </c>
      <c r="P120" s="29">
        <f t="shared" ref="P120:Q122" si="157">+N120+0</f>
        <v>0</v>
      </c>
      <c r="Q120" s="30">
        <f t="shared" si="157"/>
        <v>0</v>
      </c>
      <c r="R120" s="29">
        <f t="shared" si="153"/>
        <v>0</v>
      </c>
      <c r="S120" s="30">
        <f t="shared" si="153"/>
        <v>0</v>
      </c>
      <c r="T120" s="29">
        <f>+R120+0</f>
        <v>0</v>
      </c>
      <c r="U120" s="30">
        <f>+S120+0</f>
        <v>0</v>
      </c>
      <c r="V120" s="29">
        <f>+T120+2</f>
        <v>2</v>
      </c>
      <c r="W120" s="30">
        <f>+U120+34+8</f>
        <v>42</v>
      </c>
      <c r="X120" s="29">
        <f>+V120+0</f>
        <v>2</v>
      </c>
      <c r="Y120" s="30">
        <f>+W120+0</f>
        <v>42</v>
      </c>
      <c r="Z120" s="29">
        <f>+X120+0</f>
        <v>2</v>
      </c>
      <c r="AA120" s="30">
        <f>+Y120+0</f>
        <v>42</v>
      </c>
      <c r="AB120" s="29">
        <f>+Z120+2</f>
        <v>4</v>
      </c>
      <c r="AC120" s="30">
        <f>+AA120+59+71</f>
        <v>172</v>
      </c>
      <c r="AD120" s="29">
        <f t="shared" si="154"/>
        <v>4</v>
      </c>
      <c r="AE120" s="30">
        <f t="shared" si="154"/>
        <v>172</v>
      </c>
      <c r="AF120" s="29">
        <f t="shared" si="154"/>
        <v>4</v>
      </c>
      <c r="AG120" s="30">
        <f>+AE120+0</f>
        <v>172</v>
      </c>
      <c r="AH120" s="29">
        <f t="shared" si="155"/>
        <v>4</v>
      </c>
      <c r="AI120" s="30">
        <f t="shared" si="152"/>
        <v>172</v>
      </c>
      <c r="AJ120" s="29">
        <f>+AH120+0</f>
        <v>4</v>
      </c>
      <c r="AK120" s="30">
        <f>+AI120+0</f>
        <v>172</v>
      </c>
      <c r="AL120" s="29">
        <f>+AJ120+0</f>
        <v>4</v>
      </c>
      <c r="AM120" s="30">
        <f t="shared" si="142"/>
        <v>172</v>
      </c>
      <c r="AN120" s="99">
        <f t="shared" si="119"/>
        <v>4</v>
      </c>
      <c r="AO120" s="100">
        <f t="shared" si="120"/>
        <v>172</v>
      </c>
    </row>
    <row r="121" spans="1:41" x14ac:dyDescent="0.25">
      <c r="A121" s="67"/>
      <c r="B121" s="1" t="s">
        <v>93</v>
      </c>
      <c r="C121" s="1">
        <v>16</v>
      </c>
      <c r="D121" s="13">
        <f t="shared" si="129"/>
        <v>7.8817733990147777E-3</v>
      </c>
      <c r="E121" s="1">
        <f>81+46+46+77+58+40+72+35+103+71+137+48+30+38+22+22+10+6+69+98+18+18+17+70+31+17</f>
        <v>1280</v>
      </c>
      <c r="F121" s="13">
        <f t="shared" si="144"/>
        <v>1.323517247084126E-2</v>
      </c>
      <c r="G121" s="16">
        <f t="shared" si="113"/>
        <v>80</v>
      </c>
      <c r="H121" s="2">
        <v>10</v>
      </c>
      <c r="I121" s="9"/>
      <c r="J121" s="1">
        <v>4</v>
      </c>
      <c r="K121" s="1"/>
      <c r="L121" s="1">
        <v>2</v>
      </c>
      <c r="M121" s="1"/>
      <c r="N121" s="29">
        <v>4</v>
      </c>
      <c r="O121" s="30">
        <f>81+46+46+77+58+40</f>
        <v>348</v>
      </c>
      <c r="P121" s="29">
        <f t="shared" si="157"/>
        <v>4</v>
      </c>
      <c r="Q121" s="30">
        <f t="shared" si="157"/>
        <v>348</v>
      </c>
      <c r="R121" s="29">
        <f t="shared" si="153"/>
        <v>4</v>
      </c>
      <c r="S121" s="30">
        <f t="shared" si="153"/>
        <v>348</v>
      </c>
      <c r="T121" s="29">
        <f>+R121+3</f>
        <v>7</v>
      </c>
      <c r="U121" s="30">
        <f>+S121+72+35+103</f>
        <v>558</v>
      </c>
      <c r="V121" s="29">
        <f>+T121+1</f>
        <v>8</v>
      </c>
      <c r="W121" s="30">
        <f>+U121+71</f>
        <v>629</v>
      </c>
      <c r="X121" s="29">
        <f>+V121+2</f>
        <v>10</v>
      </c>
      <c r="Y121" s="30">
        <f>+W121+137+48+30+38</f>
        <v>882</v>
      </c>
      <c r="Z121" s="29">
        <f>+X121+1</f>
        <v>11</v>
      </c>
      <c r="AA121" s="30">
        <f>+Y121+22+22+10+6</f>
        <v>942</v>
      </c>
      <c r="AB121" s="29">
        <f>+Z121+2</f>
        <v>13</v>
      </c>
      <c r="AC121" s="30">
        <f>+AA121+69+98</f>
        <v>1109</v>
      </c>
      <c r="AD121" s="29">
        <f>+AB121+0</f>
        <v>13</v>
      </c>
      <c r="AE121" s="30">
        <f>+AC121+18+18+17</f>
        <v>1162</v>
      </c>
      <c r="AF121" s="29">
        <f>+AD121+2</f>
        <v>15</v>
      </c>
      <c r="AG121" s="30">
        <f>+AE121+70+31</f>
        <v>1263</v>
      </c>
      <c r="AH121" s="29">
        <f t="shared" si="155"/>
        <v>15</v>
      </c>
      <c r="AI121" s="30">
        <f t="shared" si="152"/>
        <v>1263</v>
      </c>
      <c r="AJ121" s="29">
        <f>+AH121+1</f>
        <v>16</v>
      </c>
      <c r="AK121" s="30">
        <f>+AI121+17</f>
        <v>1280</v>
      </c>
      <c r="AL121" s="29">
        <f t="shared" si="156"/>
        <v>16</v>
      </c>
      <c r="AM121" s="30">
        <f t="shared" si="142"/>
        <v>1280</v>
      </c>
      <c r="AN121" s="99">
        <f t="shared" si="119"/>
        <v>16</v>
      </c>
      <c r="AO121" s="100">
        <f t="shared" si="120"/>
        <v>1280</v>
      </c>
    </row>
    <row r="122" spans="1:41" x14ac:dyDescent="0.25">
      <c r="A122" s="67"/>
      <c r="B122" s="1" t="s">
        <v>132</v>
      </c>
      <c r="C122" s="35">
        <f>(1)</f>
        <v>1</v>
      </c>
      <c r="D122" s="13">
        <f t="shared" si="129"/>
        <v>4.9261083743842361E-4</v>
      </c>
      <c r="E122" s="35">
        <f>(42)</f>
        <v>42</v>
      </c>
      <c r="F122" s="13">
        <f t="shared" si="144"/>
        <v>4.3427909669947886E-4</v>
      </c>
      <c r="G122" s="16">
        <f t="shared" si="113"/>
        <v>42</v>
      </c>
      <c r="H122" s="34">
        <f>(1)</f>
        <v>1</v>
      </c>
      <c r="I122" s="33"/>
      <c r="J122" s="1"/>
      <c r="K122" s="1"/>
      <c r="L122" s="1"/>
      <c r="M122" s="1"/>
      <c r="N122" s="29">
        <v>0</v>
      </c>
      <c r="O122" s="30">
        <v>0</v>
      </c>
      <c r="P122" s="29">
        <f t="shared" si="157"/>
        <v>0</v>
      </c>
      <c r="Q122" s="30">
        <f t="shared" si="157"/>
        <v>0</v>
      </c>
      <c r="R122" s="29">
        <f t="shared" si="153"/>
        <v>0</v>
      </c>
      <c r="S122" s="30">
        <f t="shared" si="153"/>
        <v>0</v>
      </c>
      <c r="T122" s="29">
        <f t="shared" ref="T122:AG122" si="158">+R122+0</f>
        <v>0</v>
      </c>
      <c r="U122" s="30">
        <f t="shared" si="158"/>
        <v>0</v>
      </c>
      <c r="V122" s="29">
        <f t="shared" si="158"/>
        <v>0</v>
      </c>
      <c r="W122" s="30">
        <f t="shared" si="158"/>
        <v>0</v>
      </c>
      <c r="X122" s="29">
        <f t="shared" si="158"/>
        <v>0</v>
      </c>
      <c r="Y122" s="30">
        <f t="shared" si="158"/>
        <v>0</v>
      </c>
      <c r="Z122" s="29">
        <f t="shared" si="158"/>
        <v>0</v>
      </c>
      <c r="AA122" s="30">
        <f t="shared" si="158"/>
        <v>0</v>
      </c>
      <c r="AB122" s="29">
        <f t="shared" si="158"/>
        <v>0</v>
      </c>
      <c r="AC122" s="30">
        <f t="shared" si="158"/>
        <v>0</v>
      </c>
      <c r="AD122" s="29">
        <f t="shared" si="158"/>
        <v>0</v>
      </c>
      <c r="AE122" s="30">
        <f t="shared" si="158"/>
        <v>0</v>
      </c>
      <c r="AF122" s="29">
        <f t="shared" si="158"/>
        <v>0</v>
      </c>
      <c r="AG122" s="30">
        <f t="shared" si="158"/>
        <v>0</v>
      </c>
      <c r="AH122" s="29">
        <f t="shared" si="155"/>
        <v>0</v>
      </c>
      <c r="AI122" s="30">
        <f t="shared" si="152"/>
        <v>0</v>
      </c>
      <c r="AJ122" s="29">
        <f>+AH122+0</f>
        <v>0</v>
      </c>
      <c r="AK122" s="30">
        <f>+AI122+0</f>
        <v>0</v>
      </c>
      <c r="AL122" s="29">
        <f t="shared" si="156"/>
        <v>0</v>
      </c>
      <c r="AM122" s="30">
        <f t="shared" si="142"/>
        <v>0</v>
      </c>
      <c r="AN122" s="95">
        <f>+AL122+0+(1)</f>
        <v>1</v>
      </c>
      <c r="AO122" s="96">
        <f>+AM122+0+(42)</f>
        <v>42</v>
      </c>
    </row>
    <row r="123" spans="1:41" x14ac:dyDescent="0.25">
      <c r="A123" s="67"/>
      <c r="B123" s="1" t="s">
        <v>94</v>
      </c>
      <c r="C123" s="1">
        <v>22</v>
      </c>
      <c r="D123" s="13">
        <f t="shared" si="129"/>
        <v>1.083743842364532E-2</v>
      </c>
      <c r="E123" s="1">
        <f>35+35+37+18+20+18+36+26+24+49+49+13+11+13+60+77+82+16+16+16+59+47+47+25+18+18+11+20+21+27+33+15+12</f>
        <v>1004</v>
      </c>
      <c r="F123" s="13">
        <f t="shared" si="144"/>
        <v>1.0381338406816114E-2</v>
      </c>
      <c r="G123" s="16">
        <f t="shared" si="113"/>
        <v>45.636363636363633</v>
      </c>
      <c r="H123" s="2">
        <v>12</v>
      </c>
      <c r="I123" s="9"/>
      <c r="J123" s="1">
        <v>8</v>
      </c>
      <c r="K123" s="1"/>
      <c r="L123" s="1">
        <v>2</v>
      </c>
      <c r="M123" s="1"/>
      <c r="N123" s="29">
        <v>10</v>
      </c>
      <c r="O123" s="30">
        <f>74+35+35+37+18+20+18+38+26+28+49+33+33+33+101</f>
        <v>578</v>
      </c>
      <c r="P123" s="29">
        <f>+N123+1</f>
        <v>11</v>
      </c>
      <c r="Q123" s="30">
        <f>+O123+49</f>
        <v>627</v>
      </c>
      <c r="R123" s="29">
        <f t="shared" si="153"/>
        <v>11</v>
      </c>
      <c r="S123" s="30">
        <f t="shared" si="153"/>
        <v>627</v>
      </c>
      <c r="T123" s="29">
        <f>+R123+4-2</f>
        <v>13</v>
      </c>
      <c r="U123" s="30">
        <f>+S123+13+11+13+60+77+82-33-33-33-101</f>
        <v>683</v>
      </c>
      <c r="V123" s="29">
        <f>+T123+3</f>
        <v>16</v>
      </c>
      <c r="W123" s="30">
        <f>+U123+16+16+16+59+47+47</f>
        <v>884</v>
      </c>
      <c r="X123" s="29">
        <f t="shared" ref="X123:Y125" si="159">+V123+0</f>
        <v>16</v>
      </c>
      <c r="Y123" s="30">
        <f t="shared" si="159"/>
        <v>884</v>
      </c>
      <c r="Z123" s="29">
        <f>+X123+1</f>
        <v>17</v>
      </c>
      <c r="AA123" s="30">
        <f>+Y123+25+18</f>
        <v>927</v>
      </c>
      <c r="AB123" s="29">
        <f>+Z123+3</f>
        <v>20</v>
      </c>
      <c r="AC123" s="30">
        <f>+AA123+18+11+20+21</f>
        <v>997</v>
      </c>
      <c r="AD123" s="29">
        <f>+AB123+2</f>
        <v>22</v>
      </c>
      <c r="AE123" s="30">
        <f>+AC123+27+33</f>
        <v>1057</v>
      </c>
      <c r="AF123" s="29">
        <f>+AD123+1</f>
        <v>23</v>
      </c>
      <c r="AG123" s="30">
        <f>+AE123+15+12</f>
        <v>1084</v>
      </c>
      <c r="AH123" s="29">
        <f t="shared" si="155"/>
        <v>23</v>
      </c>
      <c r="AI123" s="30">
        <f t="shared" si="152"/>
        <v>1084</v>
      </c>
      <c r="AJ123" s="29">
        <f>+AH123+0-1</f>
        <v>22</v>
      </c>
      <c r="AK123" s="30">
        <f>+AI123+0-74</f>
        <v>1010</v>
      </c>
      <c r="AL123" s="29">
        <f t="shared" si="156"/>
        <v>22</v>
      </c>
      <c r="AM123" s="30">
        <f t="shared" si="142"/>
        <v>1010</v>
      </c>
      <c r="AN123" s="99">
        <f t="shared" si="119"/>
        <v>22</v>
      </c>
      <c r="AO123" s="100">
        <f>+AM123+0-4-2</f>
        <v>1004</v>
      </c>
    </row>
    <row r="124" spans="1:41" x14ac:dyDescent="0.25">
      <c r="A124" s="67"/>
      <c r="B124" s="1" t="s">
        <v>130</v>
      </c>
      <c r="C124" s="1">
        <v>1</v>
      </c>
      <c r="D124" s="13">
        <f t="shared" si="129"/>
        <v>4.9261083743842361E-4</v>
      </c>
      <c r="E124" s="1">
        <f>17+18+11</f>
        <v>46</v>
      </c>
      <c r="F124" s="13">
        <f t="shared" si="144"/>
        <v>4.7563901067085778E-4</v>
      </c>
      <c r="G124" s="16">
        <f t="shared" si="113"/>
        <v>46</v>
      </c>
      <c r="H124" s="2"/>
      <c r="I124" s="9"/>
      <c r="J124" s="1">
        <v>1</v>
      </c>
      <c r="K124" s="1"/>
      <c r="L124" s="1"/>
      <c r="M124" s="1"/>
      <c r="N124" s="29">
        <v>0</v>
      </c>
      <c r="O124" s="30">
        <v>0</v>
      </c>
      <c r="P124" s="29">
        <f t="shared" ref="P124:Q127" si="160">+N124+0</f>
        <v>0</v>
      </c>
      <c r="Q124" s="30">
        <f t="shared" si="160"/>
        <v>0</v>
      </c>
      <c r="R124" s="29">
        <f t="shared" si="153"/>
        <v>0</v>
      </c>
      <c r="S124" s="30">
        <f t="shared" si="153"/>
        <v>0</v>
      </c>
      <c r="T124" s="29">
        <f>+R124+0</f>
        <v>0</v>
      </c>
      <c r="U124" s="30">
        <f>+S124+0</f>
        <v>0</v>
      </c>
      <c r="V124" s="29">
        <f>+T124+0</f>
        <v>0</v>
      </c>
      <c r="W124" s="30">
        <f>+U124+0</f>
        <v>0</v>
      </c>
      <c r="X124" s="29">
        <f t="shared" si="159"/>
        <v>0</v>
      </c>
      <c r="Y124" s="30">
        <f t="shared" si="159"/>
        <v>0</v>
      </c>
      <c r="Z124" s="29">
        <f t="shared" ref="Z124:AG124" si="161">+X124+0</f>
        <v>0</v>
      </c>
      <c r="AA124" s="30">
        <f t="shared" si="161"/>
        <v>0</v>
      </c>
      <c r="AB124" s="29">
        <f t="shared" si="161"/>
        <v>0</v>
      </c>
      <c r="AC124" s="30">
        <f t="shared" si="161"/>
        <v>0</v>
      </c>
      <c r="AD124" s="29">
        <f t="shared" si="161"/>
        <v>0</v>
      </c>
      <c r="AE124" s="30">
        <f t="shared" si="161"/>
        <v>0</v>
      </c>
      <c r="AF124" s="29">
        <f t="shared" si="161"/>
        <v>0</v>
      </c>
      <c r="AG124" s="30">
        <f t="shared" si="161"/>
        <v>0</v>
      </c>
      <c r="AH124" s="29">
        <f t="shared" si="155"/>
        <v>0</v>
      </c>
      <c r="AI124" s="30">
        <f t="shared" si="152"/>
        <v>0</v>
      </c>
      <c r="AJ124" s="29">
        <f>+AH124+1</f>
        <v>1</v>
      </c>
      <c r="AK124" s="30">
        <f>+AI124+17+18+11</f>
        <v>46</v>
      </c>
      <c r="AL124" s="29">
        <f t="shared" si="156"/>
        <v>1</v>
      </c>
      <c r="AM124" s="30">
        <f t="shared" si="142"/>
        <v>46</v>
      </c>
      <c r="AN124" s="99">
        <f t="shared" si="119"/>
        <v>1</v>
      </c>
      <c r="AO124" s="100">
        <f t="shared" si="120"/>
        <v>46</v>
      </c>
    </row>
    <row r="125" spans="1:41" x14ac:dyDescent="0.25">
      <c r="A125" s="67"/>
      <c r="B125" s="1" t="s">
        <v>95</v>
      </c>
      <c r="C125" s="1">
        <v>4</v>
      </c>
      <c r="D125" s="13">
        <f t="shared" si="129"/>
        <v>1.9704433497536944E-3</v>
      </c>
      <c r="E125" s="1">
        <f>53+53+15+5+17+5+17+5+17+5+17+5+17+5+17+11+83</f>
        <v>347</v>
      </c>
      <c r="F125" s="13">
        <f t="shared" si="144"/>
        <v>3.5879725370171231E-3</v>
      </c>
      <c r="G125" s="16">
        <f t="shared" si="113"/>
        <v>86.75</v>
      </c>
      <c r="H125" s="2"/>
      <c r="I125" s="9"/>
      <c r="J125" s="1">
        <v>3</v>
      </c>
      <c r="K125" s="1"/>
      <c r="L125" s="1">
        <v>1</v>
      </c>
      <c r="M125" s="1"/>
      <c r="N125" s="29">
        <v>0</v>
      </c>
      <c r="O125" s="30">
        <v>0</v>
      </c>
      <c r="P125" s="29">
        <f t="shared" si="160"/>
        <v>0</v>
      </c>
      <c r="Q125" s="30">
        <f t="shared" si="160"/>
        <v>0</v>
      </c>
      <c r="R125" s="29">
        <f t="shared" si="153"/>
        <v>0</v>
      </c>
      <c r="S125" s="30">
        <f t="shared" si="153"/>
        <v>0</v>
      </c>
      <c r="T125" s="29">
        <f t="shared" ref="T125:U127" si="162">+R125+0</f>
        <v>0</v>
      </c>
      <c r="U125" s="30">
        <f t="shared" si="162"/>
        <v>0</v>
      </c>
      <c r="V125" s="29">
        <f>+T125+1</f>
        <v>1</v>
      </c>
      <c r="W125" s="30">
        <f>+U125+53+53</f>
        <v>106</v>
      </c>
      <c r="X125" s="29">
        <f t="shared" si="159"/>
        <v>1</v>
      </c>
      <c r="Y125" s="30">
        <f t="shared" si="159"/>
        <v>106</v>
      </c>
      <c r="Z125" s="29">
        <f>+X125+0</f>
        <v>1</v>
      </c>
      <c r="AA125" s="30">
        <f>+Y125+0</f>
        <v>106</v>
      </c>
      <c r="AB125" s="29">
        <f>+Z125+0</f>
        <v>1</v>
      </c>
      <c r="AC125" s="30">
        <f>+AA125+0</f>
        <v>106</v>
      </c>
      <c r="AD125" s="29">
        <f>+AB125+3</f>
        <v>4</v>
      </c>
      <c r="AE125" s="30">
        <f>+AC125+15+5+17+5+17+5+17+5+17+5+17+5+17+11+83</f>
        <v>347</v>
      </c>
      <c r="AF125" s="29">
        <f>+AD125+0</f>
        <v>4</v>
      </c>
      <c r="AG125" s="30">
        <f>+AE125+0</f>
        <v>347</v>
      </c>
      <c r="AH125" s="29">
        <f t="shared" si="155"/>
        <v>4</v>
      </c>
      <c r="AI125" s="30">
        <f t="shared" si="152"/>
        <v>347</v>
      </c>
      <c r="AJ125" s="29">
        <f>+AH125+0</f>
        <v>4</v>
      </c>
      <c r="AK125" s="30">
        <f>+AI125+0</f>
        <v>347</v>
      </c>
      <c r="AL125" s="29">
        <f t="shared" si="156"/>
        <v>4</v>
      </c>
      <c r="AM125" s="30">
        <f t="shared" si="142"/>
        <v>347</v>
      </c>
      <c r="AN125" s="99">
        <f t="shared" si="119"/>
        <v>4</v>
      </c>
      <c r="AO125" s="100">
        <f t="shared" si="120"/>
        <v>347</v>
      </c>
    </row>
    <row r="126" spans="1:41" x14ac:dyDescent="0.25">
      <c r="A126" s="67"/>
      <c r="B126" s="1" t="s">
        <v>96</v>
      </c>
      <c r="C126" s="1">
        <v>13</v>
      </c>
      <c r="D126" s="13">
        <f t="shared" si="129"/>
        <v>6.4039408866995075E-3</v>
      </c>
      <c r="E126" s="1">
        <f>69+18+18+40+49+31+49+20+93+70+61+50+16+61+37+69+70+70</f>
        <v>891</v>
      </c>
      <c r="F126" s="13">
        <f t="shared" si="144"/>
        <v>9.212920837124659E-3</v>
      </c>
      <c r="G126" s="16">
        <f t="shared" si="113"/>
        <v>68.538461538461533</v>
      </c>
      <c r="H126" s="2">
        <v>9</v>
      </c>
      <c r="I126" s="9"/>
      <c r="J126" s="1">
        <v>3</v>
      </c>
      <c r="K126" s="1"/>
      <c r="L126" s="1">
        <v>1</v>
      </c>
      <c r="M126" s="1"/>
      <c r="N126" s="29">
        <v>3</v>
      </c>
      <c r="O126" s="30">
        <f>69+18+18+40</f>
        <v>145</v>
      </c>
      <c r="P126" s="29">
        <f t="shared" si="160"/>
        <v>3</v>
      </c>
      <c r="Q126" s="30">
        <f t="shared" si="160"/>
        <v>145</v>
      </c>
      <c r="R126" s="29">
        <f>+P126+1</f>
        <v>4</v>
      </c>
      <c r="S126" s="30">
        <f>+Q126+49+31+49</f>
        <v>274</v>
      </c>
      <c r="T126" s="29">
        <f t="shared" si="162"/>
        <v>4</v>
      </c>
      <c r="U126" s="30">
        <f t="shared" si="162"/>
        <v>274</v>
      </c>
      <c r="V126" s="29">
        <f>+T126+0</f>
        <v>4</v>
      </c>
      <c r="W126" s="30">
        <f>+U126+0</f>
        <v>274</v>
      </c>
      <c r="X126" s="29">
        <f>+V126+2</f>
        <v>6</v>
      </c>
      <c r="Y126" s="30">
        <f>+W126+20+93</f>
        <v>387</v>
      </c>
      <c r="Z126" s="29">
        <f>+X126+1</f>
        <v>7</v>
      </c>
      <c r="AA126" s="30">
        <f>+Y126+70+61</f>
        <v>518</v>
      </c>
      <c r="AB126" s="29">
        <f>+Z126+1</f>
        <v>8</v>
      </c>
      <c r="AC126" s="30">
        <f>+AA126+50+16</f>
        <v>584</v>
      </c>
      <c r="AD126" s="29">
        <f>+AB126+0</f>
        <v>8</v>
      </c>
      <c r="AE126" s="30">
        <f>+AC126+0</f>
        <v>584</v>
      </c>
      <c r="AF126" s="29">
        <f>+AD126+2</f>
        <v>10</v>
      </c>
      <c r="AG126" s="30">
        <f>+AE126+61+37</f>
        <v>682</v>
      </c>
      <c r="AH126" s="29">
        <f>+AF126+1</f>
        <v>11</v>
      </c>
      <c r="AI126" s="30">
        <f>+AG126+69</f>
        <v>751</v>
      </c>
      <c r="AJ126" s="29">
        <f>+AH126+2</f>
        <v>13</v>
      </c>
      <c r="AK126" s="30">
        <f>+AI126+70+70</f>
        <v>891</v>
      </c>
      <c r="AL126" s="29">
        <f t="shared" si="156"/>
        <v>13</v>
      </c>
      <c r="AM126" s="30">
        <f t="shared" si="142"/>
        <v>891</v>
      </c>
      <c r="AN126" s="99">
        <f t="shared" si="119"/>
        <v>13</v>
      </c>
      <c r="AO126" s="100">
        <f t="shared" si="120"/>
        <v>891</v>
      </c>
    </row>
    <row r="127" spans="1:41" x14ac:dyDescent="0.25">
      <c r="A127" s="67"/>
      <c r="B127" s="1" t="s">
        <v>97</v>
      </c>
      <c r="C127" s="1">
        <v>26</v>
      </c>
      <c r="D127" s="13">
        <f t="shared" si="129"/>
        <v>1.2807881773399015E-2</v>
      </c>
      <c r="E127" s="1">
        <f>25+39+39+43+36+24+18+18+76+45+27+27+104+21+17+63+11+11+11+8+7+11+11+11+30+30+27+33+10+8+9+10+10+10+10+10+34+34+17+13+17+17+14+40+40+50+20+20+9+7+9+17+17+78+42</f>
        <v>1395</v>
      </c>
      <c r="F127" s="13">
        <f t="shared" si="144"/>
        <v>1.4424269997518405E-2</v>
      </c>
      <c r="G127" s="16">
        <f t="shared" si="113"/>
        <v>53.653846153846153</v>
      </c>
      <c r="H127" s="2">
        <v>11</v>
      </c>
      <c r="I127" s="9"/>
      <c r="J127" s="1">
        <v>15</v>
      </c>
      <c r="K127" s="1"/>
      <c r="L127" s="1"/>
      <c r="M127" s="1"/>
      <c r="N127" s="29">
        <f>11+1</f>
        <v>12</v>
      </c>
      <c r="O127" s="30">
        <f>42+25+39+39+43+36+24+18+18+76+45+27+27+104+63+63</f>
        <v>689</v>
      </c>
      <c r="P127" s="29">
        <f t="shared" si="160"/>
        <v>12</v>
      </c>
      <c r="Q127" s="30">
        <f t="shared" si="160"/>
        <v>689</v>
      </c>
      <c r="R127" s="29">
        <f>+P127+5-1</f>
        <v>16</v>
      </c>
      <c r="S127" s="30">
        <f>+Q127+21+21+63+11+11+11+8+7+11+11+11+39+36-42</f>
        <v>908</v>
      </c>
      <c r="T127" s="29">
        <f t="shared" si="162"/>
        <v>16</v>
      </c>
      <c r="U127" s="30">
        <f t="shared" si="162"/>
        <v>908</v>
      </c>
      <c r="V127" s="29">
        <f>+T127+1</f>
        <v>17</v>
      </c>
      <c r="W127" s="30">
        <f>+U127+30+30+27</f>
        <v>995</v>
      </c>
      <c r="X127" s="29">
        <f>+V127+4-1</f>
        <v>20</v>
      </c>
      <c r="Y127" s="30">
        <f>+W127+33+10+8+9+10+10+10+10+10+34+34-4-63-63</f>
        <v>1043</v>
      </c>
      <c r="Z127" s="29">
        <f>+X127+1</f>
        <v>21</v>
      </c>
      <c r="AA127" s="30">
        <f>+Y127+17+13+17+17</f>
        <v>1107</v>
      </c>
      <c r="AB127" s="29">
        <f>+Z127+1</f>
        <v>22</v>
      </c>
      <c r="AC127" s="30">
        <f>+AA127+14+40+40</f>
        <v>1201</v>
      </c>
      <c r="AD127" s="29">
        <f>+AB127+3</f>
        <v>25</v>
      </c>
      <c r="AE127" s="30">
        <f>+AC127+50+20+20+9+7+9</f>
        <v>1316</v>
      </c>
      <c r="AF127" s="29">
        <f>+AD127+1</f>
        <v>26</v>
      </c>
      <c r="AG127" s="30">
        <f>+AE127+17+17+78</f>
        <v>1428</v>
      </c>
      <c r="AH127" s="29">
        <f>+AF127+0-1</f>
        <v>25</v>
      </c>
      <c r="AI127" s="30">
        <f>+AG127+0-39-36</f>
        <v>1353</v>
      </c>
      <c r="AJ127" s="29">
        <f>+AH127+0</f>
        <v>25</v>
      </c>
      <c r="AK127" s="30">
        <f>+AI127+0</f>
        <v>1353</v>
      </c>
      <c r="AL127" s="29">
        <f t="shared" si="156"/>
        <v>25</v>
      </c>
      <c r="AM127" s="30">
        <f t="shared" si="142"/>
        <v>1353</v>
      </c>
      <c r="AN127" s="99">
        <f>+AL127+1</f>
        <v>26</v>
      </c>
      <c r="AO127" s="100">
        <f>+AM127+42</f>
        <v>1395</v>
      </c>
    </row>
    <row r="128" spans="1:41" x14ac:dyDescent="0.25">
      <c r="A128" s="67"/>
      <c r="B128" s="3" t="s">
        <v>98</v>
      </c>
      <c r="C128" s="3">
        <v>40</v>
      </c>
      <c r="D128" s="13">
        <f t="shared" si="129"/>
        <v>1.9704433497536946E-2</v>
      </c>
      <c r="E128" s="3">
        <f>33+81+30+113+120+80+37+59+51+25+78+26+17+16+19+21+29+68+47+36+75+37+65+47+32+106+84+102+102+31+68+43+28+44+20+36+66+58+12+52+28+52+26+75+62+36+86+50</f>
        <v>2509</v>
      </c>
      <c r="F128" s="13">
        <f t="shared" si="144"/>
        <v>2.5943006038547441E-2</v>
      </c>
      <c r="G128" s="16">
        <f t="shared" si="113"/>
        <v>62.725000000000001</v>
      </c>
      <c r="H128" s="2">
        <v>33</v>
      </c>
      <c r="I128" s="9"/>
      <c r="J128" s="1">
        <v>6</v>
      </c>
      <c r="K128" s="1"/>
      <c r="L128" s="1">
        <v>1</v>
      </c>
      <c r="M128" s="1"/>
      <c r="N128" s="29">
        <v>1</v>
      </c>
      <c r="O128" s="30">
        <v>33</v>
      </c>
      <c r="P128" s="29">
        <f>+N128+1</f>
        <v>2</v>
      </c>
      <c r="Q128" s="30">
        <f>+O128+81</f>
        <v>114</v>
      </c>
      <c r="R128" s="29">
        <f>+P128+0</f>
        <v>2</v>
      </c>
      <c r="S128" s="30">
        <f>+Q128+0</f>
        <v>114</v>
      </c>
      <c r="T128" s="29">
        <f>+R128+5</f>
        <v>7</v>
      </c>
      <c r="U128" s="30">
        <f>+S128+30+113+120+80+37</f>
        <v>494</v>
      </c>
      <c r="V128" s="29">
        <f>+T128+0</f>
        <v>7</v>
      </c>
      <c r="W128" s="30">
        <f>+U128+0</f>
        <v>494</v>
      </c>
      <c r="X128" s="29">
        <f>+V128+1</f>
        <v>8</v>
      </c>
      <c r="Y128" s="30">
        <f>+W128+59</f>
        <v>553</v>
      </c>
      <c r="Z128" s="29">
        <f>+X128+4</f>
        <v>12</v>
      </c>
      <c r="AA128" s="30">
        <f>+Y128+51+25+78+26+17+16</f>
        <v>766</v>
      </c>
      <c r="AB128" s="29">
        <f>+Z128+2</f>
        <v>14</v>
      </c>
      <c r="AC128" s="30">
        <f>+AA128+19+21</f>
        <v>806</v>
      </c>
      <c r="AD128" s="29">
        <f>+AB128+5</f>
        <v>19</v>
      </c>
      <c r="AE128" s="30">
        <f>+AC128+29+68+47+36+75+37+65</f>
        <v>1163</v>
      </c>
      <c r="AF128" s="29">
        <f>+AD128+15</f>
        <v>34</v>
      </c>
      <c r="AG128" s="30">
        <f>+AE128+47+32+106+84+204+31+68+43+28+44+20+36+66+58+12+52+28+52</f>
        <v>2174</v>
      </c>
      <c r="AH128" s="29">
        <f>+AF128+1</f>
        <v>35</v>
      </c>
      <c r="AI128" s="30">
        <f>+AG128+26</f>
        <v>2200</v>
      </c>
      <c r="AJ128" s="29">
        <f>+AH128+2</f>
        <v>37</v>
      </c>
      <c r="AK128" s="30">
        <f>+AI128+75+62</f>
        <v>2337</v>
      </c>
      <c r="AL128" s="29">
        <f>+AJ128+2</f>
        <v>39</v>
      </c>
      <c r="AM128" s="30">
        <f>+AK128+36+86</f>
        <v>2459</v>
      </c>
      <c r="AN128" s="99">
        <f>+AL128+1</f>
        <v>40</v>
      </c>
      <c r="AO128" s="100">
        <f>+AM128+50</f>
        <v>2509</v>
      </c>
    </row>
    <row r="129" spans="1:41" x14ac:dyDescent="0.25">
      <c r="A129" s="68"/>
      <c r="B129" s="1" t="s">
        <v>153</v>
      </c>
      <c r="C129" s="1">
        <v>0</v>
      </c>
      <c r="D129" s="13">
        <f t="shared" si="129"/>
        <v>0</v>
      </c>
      <c r="E129" s="1">
        <v>0</v>
      </c>
      <c r="F129" s="13">
        <f t="shared" si="144"/>
        <v>0</v>
      </c>
      <c r="G129" s="16" t="str">
        <f t="shared" si="113"/>
        <v/>
      </c>
      <c r="H129" s="2"/>
      <c r="I129" s="9"/>
      <c r="J129" s="1"/>
      <c r="K129" s="1"/>
      <c r="L129" s="1"/>
      <c r="M129" s="1"/>
      <c r="N129" s="29">
        <v>0</v>
      </c>
      <c r="O129" s="30">
        <v>0</v>
      </c>
      <c r="P129" s="29">
        <f>+N129+0</f>
        <v>0</v>
      </c>
      <c r="Q129" s="30">
        <f>+O129+0</f>
        <v>0</v>
      </c>
      <c r="R129" s="29">
        <f>+P129+0</f>
        <v>0</v>
      </c>
      <c r="S129" s="30">
        <f>+Q129+0</f>
        <v>0</v>
      </c>
      <c r="T129" s="29">
        <f>+R129+0</f>
        <v>0</v>
      </c>
      <c r="U129" s="30">
        <f>+S129+0</f>
        <v>0</v>
      </c>
      <c r="V129" s="29">
        <f>+T129+0</f>
        <v>0</v>
      </c>
      <c r="W129" s="30">
        <f>+U129+0</f>
        <v>0</v>
      </c>
      <c r="X129" s="29">
        <f t="shared" ref="X129:AO129" si="163">+V129+0</f>
        <v>0</v>
      </c>
      <c r="Y129" s="30">
        <f t="shared" si="163"/>
        <v>0</v>
      </c>
      <c r="Z129" s="29">
        <f t="shared" si="163"/>
        <v>0</v>
      </c>
      <c r="AA129" s="30">
        <f t="shared" si="163"/>
        <v>0</v>
      </c>
      <c r="AB129" s="29">
        <f t="shared" si="163"/>
        <v>0</v>
      </c>
      <c r="AC129" s="30">
        <f t="shared" si="163"/>
        <v>0</v>
      </c>
      <c r="AD129" s="29">
        <f t="shared" si="163"/>
        <v>0</v>
      </c>
      <c r="AE129" s="30">
        <f t="shared" si="163"/>
        <v>0</v>
      </c>
      <c r="AF129" s="29">
        <f t="shared" si="163"/>
        <v>0</v>
      </c>
      <c r="AG129" s="30">
        <f t="shared" si="163"/>
        <v>0</v>
      </c>
      <c r="AH129" s="29">
        <f t="shared" si="163"/>
        <v>0</v>
      </c>
      <c r="AI129" s="30">
        <f t="shared" si="163"/>
        <v>0</v>
      </c>
      <c r="AJ129" s="29">
        <f t="shared" si="163"/>
        <v>0</v>
      </c>
      <c r="AK129" s="30">
        <f t="shared" si="163"/>
        <v>0</v>
      </c>
      <c r="AL129" s="29">
        <f t="shared" si="163"/>
        <v>0</v>
      </c>
      <c r="AM129" s="30">
        <f t="shared" si="163"/>
        <v>0</v>
      </c>
      <c r="AN129" s="99">
        <f t="shared" si="163"/>
        <v>0</v>
      </c>
      <c r="AO129" s="100">
        <f t="shared" si="163"/>
        <v>0</v>
      </c>
    </row>
    <row r="130" spans="1:41" x14ac:dyDescent="0.25">
      <c r="A130" s="73" t="s">
        <v>139</v>
      </c>
      <c r="B130" s="74"/>
      <c r="C130" s="21">
        <f>SUM(C109:C129)</f>
        <v>210</v>
      </c>
      <c r="D130" s="14">
        <f t="shared" si="129"/>
        <v>0.10344827586206896</v>
      </c>
      <c r="E130" s="21">
        <f>SUM(E109:E129)</f>
        <v>11740</v>
      </c>
      <c r="F130" s="14">
        <f t="shared" ref="F130:F136" si="164">+E130/$E$158</f>
        <v>0.12139134750599719</v>
      </c>
      <c r="G130" s="17">
        <f t="shared" si="113"/>
        <v>55.904761904761905</v>
      </c>
      <c r="H130" s="18">
        <f>SUM(H109:H129)</f>
        <v>134</v>
      </c>
      <c r="I130" s="63">
        <f>+H130/$C$130</f>
        <v>0.63809523809523805</v>
      </c>
      <c r="J130" s="21">
        <f>SUM(J109:J129)</f>
        <v>60</v>
      </c>
      <c r="K130" s="63">
        <f>+J130/$C$130</f>
        <v>0.2857142857142857</v>
      </c>
      <c r="L130" s="21">
        <f>SUM(L109:L129)</f>
        <v>16</v>
      </c>
      <c r="M130" s="63">
        <f>+L130/$C$130</f>
        <v>7.6190476190476197E-2</v>
      </c>
      <c r="N130" s="24">
        <f t="shared" ref="N130:AO130" si="165">SUM(N109:N129)</f>
        <v>47</v>
      </c>
      <c r="O130" s="27">
        <f t="shared" si="165"/>
        <v>2635</v>
      </c>
      <c r="P130" s="24">
        <f t="shared" si="165"/>
        <v>50</v>
      </c>
      <c r="Q130" s="27">
        <f t="shared" si="165"/>
        <v>2795</v>
      </c>
      <c r="R130" s="24">
        <f t="shared" si="165"/>
        <v>57</v>
      </c>
      <c r="S130" s="27">
        <f t="shared" si="165"/>
        <v>3318</v>
      </c>
      <c r="T130" s="24">
        <f t="shared" si="165"/>
        <v>82</v>
      </c>
      <c r="U130" s="27">
        <f t="shared" si="165"/>
        <v>4863</v>
      </c>
      <c r="V130" s="24">
        <f t="shared" si="165"/>
        <v>95</v>
      </c>
      <c r="W130" s="27">
        <f t="shared" si="165"/>
        <v>5643</v>
      </c>
      <c r="X130" s="24">
        <f t="shared" si="165"/>
        <v>105</v>
      </c>
      <c r="Y130" s="27">
        <f t="shared" si="165"/>
        <v>6207</v>
      </c>
      <c r="Z130" s="24">
        <f t="shared" si="165"/>
        <v>118</v>
      </c>
      <c r="AA130" s="27">
        <f t="shared" si="165"/>
        <v>6980</v>
      </c>
      <c r="AB130" s="24">
        <f t="shared" si="165"/>
        <v>141</v>
      </c>
      <c r="AC130" s="27">
        <f t="shared" si="165"/>
        <v>7997</v>
      </c>
      <c r="AD130" s="24">
        <f t="shared" si="165"/>
        <v>162</v>
      </c>
      <c r="AE130" s="27">
        <f t="shared" si="165"/>
        <v>9300</v>
      </c>
      <c r="AF130" s="24">
        <f t="shared" si="165"/>
        <v>189</v>
      </c>
      <c r="AG130" s="27">
        <f t="shared" si="165"/>
        <v>10825</v>
      </c>
      <c r="AH130" s="24">
        <f t="shared" si="165"/>
        <v>191</v>
      </c>
      <c r="AI130" s="27">
        <f t="shared" si="165"/>
        <v>10898</v>
      </c>
      <c r="AJ130" s="24">
        <f t="shared" si="165"/>
        <v>201</v>
      </c>
      <c r="AK130" s="27">
        <f t="shared" si="165"/>
        <v>11275</v>
      </c>
      <c r="AL130" s="24">
        <f t="shared" si="165"/>
        <v>205</v>
      </c>
      <c r="AM130" s="27">
        <f t="shared" si="165"/>
        <v>11514</v>
      </c>
      <c r="AN130" s="24">
        <f t="shared" si="165"/>
        <v>210</v>
      </c>
      <c r="AO130" s="27">
        <f t="shared" si="165"/>
        <v>11740</v>
      </c>
    </row>
    <row r="131" spans="1:41" x14ac:dyDescent="0.25">
      <c r="A131" s="66">
        <v>14</v>
      </c>
      <c r="B131" s="1" t="s">
        <v>99</v>
      </c>
      <c r="C131" s="35">
        <v>26</v>
      </c>
      <c r="D131" s="13">
        <f t="shared" si="129"/>
        <v>1.2807881773399015E-2</v>
      </c>
      <c r="E131" s="35">
        <f>87+54+41+31+31+30+76+108+12+100+20+38+22+29+43+43+4+4+4+4+4+4+4+4+58+32+32+2+2+15+15+89+32+45+27+30+66+25+25+31+28+18+(32+20)</f>
        <v>1421</v>
      </c>
      <c r="F131" s="13">
        <f t="shared" si="164"/>
        <v>1.4693109438332368E-2</v>
      </c>
      <c r="G131" s="16">
        <f t="shared" si="113"/>
        <v>54.653846153846153</v>
      </c>
      <c r="H131" s="2">
        <v>15</v>
      </c>
      <c r="I131" s="9"/>
      <c r="J131" s="1">
        <v>10</v>
      </c>
      <c r="K131" s="1"/>
      <c r="L131" s="1">
        <v>1</v>
      </c>
      <c r="M131" s="1"/>
      <c r="N131" s="29">
        <v>1</v>
      </c>
      <c r="O131" s="30">
        <v>87</v>
      </c>
      <c r="P131" s="29">
        <f>+N131+3</f>
        <v>4</v>
      </c>
      <c r="Q131" s="30">
        <f>+O131+54+41+31+31</f>
        <v>244</v>
      </c>
      <c r="R131" s="29">
        <f>+P131+1</f>
        <v>5</v>
      </c>
      <c r="S131" s="30">
        <f>+Q131+30</f>
        <v>274</v>
      </c>
      <c r="T131" s="29">
        <f>+R131+2</f>
        <v>7</v>
      </c>
      <c r="U131" s="30">
        <f>+S131+76+108+12</f>
        <v>470</v>
      </c>
      <c r="V131" s="29">
        <f>+T131+1</f>
        <v>8</v>
      </c>
      <c r="W131" s="30">
        <f>+U131+100</f>
        <v>570</v>
      </c>
      <c r="X131" s="29">
        <f>+V131+1</f>
        <v>9</v>
      </c>
      <c r="Y131" s="30">
        <f>+W131+20</f>
        <v>590</v>
      </c>
      <c r="Z131" s="29">
        <f>+X131+4</f>
        <v>13</v>
      </c>
      <c r="AA131" s="30">
        <f>+Y131+38+22+29+43+43+4+4+4+4+4+4+4+4</f>
        <v>797</v>
      </c>
      <c r="AB131" s="29">
        <f t="shared" ref="AB131:AC134" si="166">+Z131+0</f>
        <v>13</v>
      </c>
      <c r="AC131" s="30">
        <f t="shared" si="166"/>
        <v>797</v>
      </c>
      <c r="AD131" s="29">
        <f>+AB131+3</f>
        <v>16</v>
      </c>
      <c r="AE131" s="30">
        <f>+AC131+58+32+32+2+2</f>
        <v>923</v>
      </c>
      <c r="AF131" s="29">
        <f>+AD131+3</f>
        <v>19</v>
      </c>
      <c r="AG131" s="30">
        <f>+AE131+15+15+89+32</f>
        <v>1074</v>
      </c>
      <c r="AH131" s="29">
        <f>+AF131+1</f>
        <v>20</v>
      </c>
      <c r="AI131" s="30">
        <f>+AG131+45</f>
        <v>1119</v>
      </c>
      <c r="AJ131" s="29">
        <f>+AH131+1</f>
        <v>21</v>
      </c>
      <c r="AK131" s="30">
        <f>+AI131+27+30</f>
        <v>1176</v>
      </c>
      <c r="AL131" s="29">
        <f>+AJ131+1</f>
        <v>22</v>
      </c>
      <c r="AM131" s="32">
        <f>+AK131+66+(32+20)</f>
        <v>1294</v>
      </c>
      <c r="AN131" s="95">
        <f>+AL131+4</f>
        <v>26</v>
      </c>
      <c r="AO131" s="96">
        <f>+AM131+25+25+31+28+18</f>
        <v>1421</v>
      </c>
    </row>
    <row r="132" spans="1:41" x14ac:dyDescent="0.25">
      <c r="A132" s="67"/>
      <c r="B132" s="1" t="s">
        <v>100</v>
      </c>
      <c r="C132" s="1">
        <v>7</v>
      </c>
      <c r="D132" s="13">
        <f t="shared" si="129"/>
        <v>3.4482758620689655E-3</v>
      </c>
      <c r="E132" s="1">
        <f>65+22+35+36+46+21+24+24+6+9+7+23</f>
        <v>318</v>
      </c>
      <c r="F132" s="13">
        <f t="shared" si="164"/>
        <v>3.2881131607246255E-3</v>
      </c>
      <c r="G132" s="16">
        <f t="shared" si="113"/>
        <v>45.428571428571431</v>
      </c>
      <c r="H132" s="2">
        <v>4</v>
      </c>
      <c r="I132" s="9"/>
      <c r="J132" s="1">
        <v>3</v>
      </c>
      <c r="K132" s="1"/>
      <c r="L132" s="1"/>
      <c r="M132" s="1"/>
      <c r="N132" s="29">
        <v>3</v>
      </c>
      <c r="O132" s="30">
        <f>65+22+35+36+36+46</f>
        <v>240</v>
      </c>
      <c r="P132" s="29">
        <f t="shared" ref="P132:AA132" si="167">+N132+0</f>
        <v>3</v>
      </c>
      <c r="Q132" s="30">
        <f t="shared" si="167"/>
        <v>240</v>
      </c>
      <c r="R132" s="29">
        <f t="shared" si="167"/>
        <v>3</v>
      </c>
      <c r="S132" s="30">
        <f t="shared" si="167"/>
        <v>240</v>
      </c>
      <c r="T132" s="29">
        <f t="shared" si="167"/>
        <v>3</v>
      </c>
      <c r="U132" s="30">
        <f t="shared" si="167"/>
        <v>240</v>
      </c>
      <c r="V132" s="29">
        <f t="shared" si="167"/>
        <v>3</v>
      </c>
      <c r="W132" s="30">
        <f t="shared" si="167"/>
        <v>240</v>
      </c>
      <c r="X132" s="29">
        <f t="shared" si="167"/>
        <v>3</v>
      </c>
      <c r="Y132" s="30">
        <f t="shared" si="167"/>
        <v>240</v>
      </c>
      <c r="Z132" s="29">
        <f t="shared" si="167"/>
        <v>3</v>
      </c>
      <c r="AA132" s="30">
        <f t="shared" si="167"/>
        <v>240</v>
      </c>
      <c r="AB132" s="29">
        <f t="shared" si="166"/>
        <v>3</v>
      </c>
      <c r="AC132" s="30">
        <f t="shared" si="166"/>
        <v>240</v>
      </c>
      <c r="AD132" s="29">
        <f>+AB132+3</f>
        <v>6</v>
      </c>
      <c r="AE132" s="30">
        <f>+AC132+21+24+24+6+9+7</f>
        <v>331</v>
      </c>
      <c r="AF132" s="29">
        <f>+AD132+0</f>
        <v>6</v>
      </c>
      <c r="AG132" s="30">
        <f>+AE132+0-36</f>
        <v>295</v>
      </c>
      <c r="AH132" s="29">
        <f>+AF132+0</f>
        <v>6</v>
      </c>
      <c r="AI132" s="30">
        <f>+AG132+0</f>
        <v>295</v>
      </c>
      <c r="AJ132" s="29">
        <f>+AH132+1</f>
        <v>7</v>
      </c>
      <c r="AK132" s="30">
        <f>+AI132+23</f>
        <v>318</v>
      </c>
      <c r="AL132" s="29">
        <f t="shared" si="156"/>
        <v>7</v>
      </c>
      <c r="AM132" s="30">
        <f>+AK132+0</f>
        <v>318</v>
      </c>
      <c r="AN132" s="99">
        <f t="shared" si="119"/>
        <v>7</v>
      </c>
      <c r="AO132" s="100">
        <f t="shared" si="120"/>
        <v>318</v>
      </c>
    </row>
    <row r="133" spans="1:41" x14ac:dyDescent="0.25">
      <c r="A133" s="67"/>
      <c r="B133" s="1" t="s">
        <v>101</v>
      </c>
      <c r="C133" s="1">
        <v>3</v>
      </c>
      <c r="D133" s="13">
        <f t="shared" si="129"/>
        <v>1.477832512315271E-3</v>
      </c>
      <c r="E133" s="1">
        <f>31+18+20+20+33+33</f>
        <v>155</v>
      </c>
      <c r="F133" s="13">
        <f t="shared" si="164"/>
        <v>1.602696666390934E-3</v>
      </c>
      <c r="G133" s="16">
        <f t="shared" si="113"/>
        <v>51.666666666666664</v>
      </c>
      <c r="H133" s="2">
        <v>1</v>
      </c>
      <c r="I133" s="9"/>
      <c r="J133" s="1">
        <v>2</v>
      </c>
      <c r="K133" s="1"/>
      <c r="L133" s="1"/>
      <c r="M133" s="1"/>
      <c r="N133" s="29">
        <v>1</v>
      </c>
      <c r="O133" s="30">
        <v>31</v>
      </c>
      <c r="P133" s="29">
        <f>+N133+1</f>
        <v>2</v>
      </c>
      <c r="Q133" s="30">
        <f>+O133+18+20+20</f>
        <v>89</v>
      </c>
      <c r="R133" s="29">
        <f t="shared" ref="R133:AA133" si="168">+P133+0</f>
        <v>2</v>
      </c>
      <c r="S133" s="30">
        <f t="shared" si="168"/>
        <v>89</v>
      </c>
      <c r="T133" s="29">
        <f t="shared" si="168"/>
        <v>2</v>
      </c>
      <c r="U133" s="30">
        <f t="shared" si="168"/>
        <v>89</v>
      </c>
      <c r="V133" s="29">
        <f t="shared" si="168"/>
        <v>2</v>
      </c>
      <c r="W133" s="30">
        <f t="shared" si="168"/>
        <v>89</v>
      </c>
      <c r="X133" s="29">
        <f t="shared" si="168"/>
        <v>2</v>
      </c>
      <c r="Y133" s="30">
        <f t="shared" si="168"/>
        <v>89</v>
      </c>
      <c r="Z133" s="29">
        <f t="shared" si="168"/>
        <v>2</v>
      </c>
      <c r="AA133" s="30">
        <f t="shared" si="168"/>
        <v>89</v>
      </c>
      <c r="AB133" s="29">
        <f t="shared" si="166"/>
        <v>2</v>
      </c>
      <c r="AC133" s="30">
        <f t="shared" si="166"/>
        <v>89</v>
      </c>
      <c r="AD133" s="29">
        <f t="shared" ref="AD133:AG134" si="169">+AB133+0</f>
        <v>2</v>
      </c>
      <c r="AE133" s="30">
        <f t="shared" si="169"/>
        <v>89</v>
      </c>
      <c r="AF133" s="29">
        <f t="shared" si="169"/>
        <v>2</v>
      </c>
      <c r="AG133" s="30">
        <f t="shared" si="169"/>
        <v>89</v>
      </c>
      <c r="AH133" s="29">
        <f>+AF133+1</f>
        <v>3</v>
      </c>
      <c r="AI133" s="30">
        <f>+AG133+33+33</f>
        <v>155</v>
      </c>
      <c r="AJ133" s="29">
        <f>+AH133+0</f>
        <v>3</v>
      </c>
      <c r="AK133" s="30">
        <f>+AI133+0</f>
        <v>155</v>
      </c>
      <c r="AL133" s="29">
        <f t="shared" si="156"/>
        <v>3</v>
      </c>
      <c r="AM133" s="30">
        <f>+AK133+0</f>
        <v>155</v>
      </c>
      <c r="AN133" s="99">
        <f t="shared" si="119"/>
        <v>3</v>
      </c>
      <c r="AO133" s="100">
        <f t="shared" si="120"/>
        <v>155</v>
      </c>
    </row>
    <row r="134" spans="1:41" x14ac:dyDescent="0.25">
      <c r="A134" s="67"/>
      <c r="B134" s="1" t="s">
        <v>102</v>
      </c>
      <c r="C134" s="35">
        <v>5</v>
      </c>
      <c r="D134" s="13">
        <f t="shared" si="129"/>
        <v>2.4630541871921183E-3</v>
      </c>
      <c r="E134" s="35">
        <f>72+15+15+17+14+14+68+20+20+20+61</f>
        <v>336</v>
      </c>
      <c r="F134" s="13">
        <f t="shared" si="164"/>
        <v>3.4742327735958309E-3</v>
      </c>
      <c r="G134" s="16">
        <f t="shared" si="113"/>
        <v>67.2</v>
      </c>
      <c r="H134" s="34">
        <v>1</v>
      </c>
      <c r="I134" s="33"/>
      <c r="J134" s="1">
        <v>4</v>
      </c>
      <c r="K134" s="1"/>
      <c r="L134" s="1"/>
      <c r="M134" s="1"/>
      <c r="N134" s="29">
        <v>0</v>
      </c>
      <c r="O134" s="30">
        <v>0</v>
      </c>
      <c r="P134" s="29">
        <f>+N134+1</f>
        <v>1</v>
      </c>
      <c r="Q134" s="30">
        <f>+O134+72</f>
        <v>72</v>
      </c>
      <c r="R134" s="29">
        <f t="shared" ref="R134:W134" si="170">+P134+0</f>
        <v>1</v>
      </c>
      <c r="S134" s="30">
        <f t="shared" si="170"/>
        <v>72</v>
      </c>
      <c r="T134" s="29">
        <f t="shared" si="170"/>
        <v>1</v>
      </c>
      <c r="U134" s="30">
        <f t="shared" si="170"/>
        <v>72</v>
      </c>
      <c r="V134" s="29">
        <f t="shared" si="170"/>
        <v>1</v>
      </c>
      <c r="W134" s="30">
        <f t="shared" si="170"/>
        <v>72</v>
      </c>
      <c r="X134" s="29">
        <f>+V134+2</f>
        <v>3</v>
      </c>
      <c r="Y134" s="30">
        <f>+W134+15+15+17+14+14+14</f>
        <v>161</v>
      </c>
      <c r="Z134" s="29">
        <f>+X134+0</f>
        <v>3</v>
      </c>
      <c r="AA134" s="30">
        <f>+Y134+68-14</f>
        <v>215</v>
      </c>
      <c r="AB134" s="29">
        <f t="shared" si="166"/>
        <v>3</v>
      </c>
      <c r="AC134" s="30">
        <f t="shared" si="166"/>
        <v>215</v>
      </c>
      <c r="AD134" s="29">
        <f t="shared" si="169"/>
        <v>3</v>
      </c>
      <c r="AE134" s="30">
        <f t="shared" si="169"/>
        <v>215</v>
      </c>
      <c r="AF134" s="29">
        <f t="shared" si="169"/>
        <v>3</v>
      </c>
      <c r="AG134" s="30">
        <f t="shared" si="169"/>
        <v>215</v>
      </c>
      <c r="AH134" s="29">
        <f>+AF134+0</f>
        <v>3</v>
      </c>
      <c r="AI134" s="30">
        <f>+AG134+0</f>
        <v>215</v>
      </c>
      <c r="AJ134" s="29">
        <f>+AH134+2</f>
        <v>5</v>
      </c>
      <c r="AK134" s="30">
        <f>+AI134+20+20+20+61</f>
        <v>336</v>
      </c>
      <c r="AL134" s="31">
        <f>+AJ134+0</f>
        <v>5</v>
      </c>
      <c r="AM134" s="32">
        <f>+AK134+0</f>
        <v>336</v>
      </c>
      <c r="AN134" s="95">
        <f t="shared" si="119"/>
        <v>5</v>
      </c>
      <c r="AO134" s="96">
        <f t="shared" si="120"/>
        <v>336</v>
      </c>
    </row>
    <row r="135" spans="1:41" x14ac:dyDescent="0.25">
      <c r="A135" s="67"/>
      <c r="B135" s="1" t="s">
        <v>103</v>
      </c>
      <c r="C135" s="35">
        <f>38+(1)</f>
        <v>39</v>
      </c>
      <c r="D135" s="13">
        <f t="shared" si="129"/>
        <v>1.9211822660098521E-2</v>
      </c>
      <c r="E135" s="35">
        <f>40+9+9+91+37+22+74+134+70+104+102+161+52+48+118+60+90+70+57+84+51+138+50+28+28+28+51+22+22+12+12+12+38+48+29+66+35+29+41+44+35+36+39+33+12+55+49+42+70+(31)</f>
        <v>2618</v>
      </c>
      <c r="F135" s="13">
        <f t="shared" si="164"/>
        <v>2.7070063694267517E-2</v>
      </c>
      <c r="G135" s="16">
        <f t="shared" si="113"/>
        <v>67.128205128205124</v>
      </c>
      <c r="H135" s="34">
        <f>29+(1)</f>
        <v>30</v>
      </c>
      <c r="I135" s="33"/>
      <c r="J135" s="1">
        <v>8</v>
      </c>
      <c r="K135" s="1"/>
      <c r="L135" s="1">
        <v>1</v>
      </c>
      <c r="M135" s="1"/>
      <c r="N135" s="29">
        <v>1</v>
      </c>
      <c r="O135" s="30">
        <f>40+9+9</f>
        <v>58</v>
      </c>
      <c r="P135" s="29">
        <f>+N135+2</f>
        <v>3</v>
      </c>
      <c r="Q135" s="30">
        <f>+O135+91+37+22</f>
        <v>208</v>
      </c>
      <c r="R135" s="29">
        <f>+P135+0</f>
        <v>3</v>
      </c>
      <c r="S135" s="30">
        <f>+Q135+0</f>
        <v>208</v>
      </c>
      <c r="T135" s="29">
        <f>+R135+1</f>
        <v>4</v>
      </c>
      <c r="U135" s="30">
        <f>+S135+74</f>
        <v>282</v>
      </c>
      <c r="V135" s="29">
        <f>+T135+9</f>
        <v>13</v>
      </c>
      <c r="W135" s="30">
        <f>+U135+134+70+104+102+161+52+48+118+60+90+70+57</f>
        <v>1348</v>
      </c>
      <c r="X135" s="29">
        <f>+V135+0</f>
        <v>13</v>
      </c>
      <c r="Y135" s="30">
        <f>+W135+0</f>
        <v>1348</v>
      </c>
      <c r="Z135" s="29">
        <f>+X135+2</f>
        <v>15</v>
      </c>
      <c r="AA135" s="30">
        <f>+Y135+138+51+84</f>
        <v>1621</v>
      </c>
      <c r="AB135" s="29">
        <f>+Z135+1</f>
        <v>16</v>
      </c>
      <c r="AC135" s="30">
        <f>+AA135+50</f>
        <v>1671</v>
      </c>
      <c r="AD135" s="29">
        <f>+AB135+6</f>
        <v>22</v>
      </c>
      <c r="AE135" s="30">
        <f>+AC135+28+28+28+51+22+22+12+12+12+38</f>
        <v>1924</v>
      </c>
      <c r="AF135" s="29">
        <f>+AD135+1</f>
        <v>23</v>
      </c>
      <c r="AG135" s="30">
        <f>+AE135+48</f>
        <v>1972</v>
      </c>
      <c r="AH135" s="29">
        <f>+AF135+1</f>
        <v>24</v>
      </c>
      <c r="AI135" s="30">
        <f>+AG135+29</f>
        <v>2001</v>
      </c>
      <c r="AJ135" s="29">
        <f>+AH135+8</f>
        <v>32</v>
      </c>
      <c r="AK135" s="30">
        <f>+AI135+66+35+29+41+44+35+36+39</f>
        <v>2326</v>
      </c>
      <c r="AL135" s="31">
        <f>+AJ135+0+(1)</f>
        <v>33</v>
      </c>
      <c r="AM135" s="32">
        <f>+AK135+0+(31)</f>
        <v>2357</v>
      </c>
      <c r="AN135" s="95">
        <f>+AL135+6</f>
        <v>39</v>
      </c>
      <c r="AO135" s="96">
        <f>+AM135+33+12+55+49+42+70</f>
        <v>2618</v>
      </c>
    </row>
    <row r="136" spans="1:41" x14ac:dyDescent="0.25">
      <c r="A136" s="67"/>
      <c r="B136" s="1" t="s">
        <v>154</v>
      </c>
      <c r="C136" s="1">
        <v>0</v>
      </c>
      <c r="D136" s="13">
        <f t="shared" si="129"/>
        <v>0</v>
      </c>
      <c r="E136" s="1">
        <v>0</v>
      </c>
      <c r="F136" s="13">
        <f t="shared" si="164"/>
        <v>0</v>
      </c>
      <c r="G136" s="16" t="str">
        <f t="shared" si="113"/>
        <v/>
      </c>
      <c r="H136" s="2"/>
      <c r="I136" s="9"/>
      <c r="J136" s="1"/>
      <c r="K136" s="1"/>
      <c r="L136" s="1"/>
      <c r="M136" s="1"/>
      <c r="N136" s="29">
        <v>0</v>
      </c>
      <c r="O136" s="30">
        <v>0</v>
      </c>
      <c r="P136" s="29">
        <f>+N136+0</f>
        <v>0</v>
      </c>
      <c r="Q136" s="30">
        <f>+O136+0</f>
        <v>0</v>
      </c>
      <c r="R136" s="29">
        <f>+P136+0</f>
        <v>0</v>
      </c>
      <c r="S136" s="30">
        <f>+Q136+0</f>
        <v>0</v>
      </c>
      <c r="T136" s="29">
        <f t="shared" ref="T136:W137" si="171">+R136+0</f>
        <v>0</v>
      </c>
      <c r="U136" s="30">
        <f t="shared" si="171"/>
        <v>0</v>
      </c>
      <c r="V136" s="29">
        <f t="shared" si="171"/>
        <v>0</v>
      </c>
      <c r="W136" s="30">
        <f t="shared" si="171"/>
        <v>0</v>
      </c>
      <c r="X136" s="29">
        <f>+V136+0</f>
        <v>0</v>
      </c>
      <c r="Y136" s="30">
        <f>+W136+0</f>
        <v>0</v>
      </c>
      <c r="Z136" s="29">
        <f t="shared" ref="Z136:AM136" si="172">+X136+0</f>
        <v>0</v>
      </c>
      <c r="AA136" s="30">
        <f t="shared" si="172"/>
        <v>0</v>
      </c>
      <c r="AB136" s="29">
        <f t="shared" si="172"/>
        <v>0</v>
      </c>
      <c r="AC136" s="30">
        <f t="shared" si="172"/>
        <v>0</v>
      </c>
      <c r="AD136" s="29">
        <f t="shared" si="172"/>
        <v>0</v>
      </c>
      <c r="AE136" s="30">
        <f t="shared" si="172"/>
        <v>0</v>
      </c>
      <c r="AF136" s="29">
        <f t="shared" si="172"/>
        <v>0</v>
      </c>
      <c r="AG136" s="30">
        <f t="shared" si="172"/>
        <v>0</v>
      </c>
      <c r="AH136" s="29">
        <f t="shared" si="172"/>
        <v>0</v>
      </c>
      <c r="AI136" s="30">
        <f t="shared" si="172"/>
        <v>0</v>
      </c>
      <c r="AJ136" s="29">
        <f t="shared" si="172"/>
        <v>0</v>
      </c>
      <c r="AK136" s="30">
        <f t="shared" si="172"/>
        <v>0</v>
      </c>
      <c r="AL136" s="29">
        <f t="shared" si="172"/>
        <v>0</v>
      </c>
      <c r="AM136" s="30">
        <f t="shared" si="172"/>
        <v>0</v>
      </c>
      <c r="AN136" s="99">
        <f t="shared" si="119"/>
        <v>0</v>
      </c>
      <c r="AO136" s="100">
        <f t="shared" si="120"/>
        <v>0</v>
      </c>
    </row>
    <row r="137" spans="1:41" x14ac:dyDescent="0.25">
      <c r="A137" s="68"/>
      <c r="B137" s="1" t="s">
        <v>104</v>
      </c>
      <c r="C137" s="35">
        <v>17</v>
      </c>
      <c r="D137" s="13">
        <f t="shared" ref="D137:D157" si="173">+C137/$C$158</f>
        <v>8.3743842364532011E-3</v>
      </c>
      <c r="E137" s="35">
        <f>30+30+74+72+70+36+56+70+66+67+74+60+47+19+44+53+52+69+33</f>
        <v>1022</v>
      </c>
      <c r="F137" s="13">
        <f>+E137/$E$158</f>
        <v>1.056745801968732E-2</v>
      </c>
      <c r="G137" s="16">
        <f t="shared" si="113"/>
        <v>60.117647058823529</v>
      </c>
      <c r="H137" s="34">
        <v>15</v>
      </c>
      <c r="I137" s="33"/>
      <c r="J137" s="1">
        <v>2</v>
      </c>
      <c r="K137" s="1"/>
      <c r="L137" s="1"/>
      <c r="M137" s="1"/>
      <c r="N137" s="29">
        <v>1</v>
      </c>
      <c r="O137" s="30">
        <f>30+30</f>
        <v>60</v>
      </c>
      <c r="P137" s="29">
        <f>+N137+1</f>
        <v>2</v>
      </c>
      <c r="Q137" s="30">
        <f>+O137+74+72</f>
        <v>206</v>
      </c>
      <c r="R137" s="29">
        <f>+P137+2</f>
        <v>4</v>
      </c>
      <c r="S137" s="30">
        <f>+Q137+70+36</f>
        <v>312</v>
      </c>
      <c r="T137" s="29">
        <f t="shared" si="171"/>
        <v>4</v>
      </c>
      <c r="U137" s="30">
        <f t="shared" si="171"/>
        <v>312</v>
      </c>
      <c r="V137" s="29">
        <f t="shared" si="171"/>
        <v>4</v>
      </c>
      <c r="W137" s="30">
        <f t="shared" si="171"/>
        <v>312</v>
      </c>
      <c r="X137" s="29">
        <f>+V137+2</f>
        <v>6</v>
      </c>
      <c r="Y137" s="30">
        <f>+W137+56+70</f>
        <v>438</v>
      </c>
      <c r="Z137" s="29">
        <f t="shared" ref="Z137:AE137" si="174">+X137+0</f>
        <v>6</v>
      </c>
      <c r="AA137" s="30">
        <f t="shared" si="174"/>
        <v>438</v>
      </c>
      <c r="AB137" s="29">
        <f t="shared" si="174"/>
        <v>6</v>
      </c>
      <c r="AC137" s="30">
        <f t="shared" si="174"/>
        <v>438</v>
      </c>
      <c r="AD137" s="29">
        <f t="shared" si="174"/>
        <v>6</v>
      </c>
      <c r="AE137" s="30">
        <f t="shared" si="174"/>
        <v>438</v>
      </c>
      <c r="AF137" s="29">
        <f>+AD137+1</f>
        <v>7</v>
      </c>
      <c r="AG137" s="30">
        <f>+AE137+66</f>
        <v>504</v>
      </c>
      <c r="AH137" s="29">
        <f>+AF137+0</f>
        <v>7</v>
      </c>
      <c r="AI137" s="30">
        <f>+AG137+0</f>
        <v>504</v>
      </c>
      <c r="AJ137" s="29">
        <f>+AH137+2</f>
        <v>9</v>
      </c>
      <c r="AK137" s="30">
        <f>+AI137+67+74</f>
        <v>645</v>
      </c>
      <c r="AL137" s="31">
        <f>+AJ137+4</f>
        <v>13</v>
      </c>
      <c r="AM137" s="32">
        <f>+AK137+60+47+19+44</f>
        <v>815</v>
      </c>
      <c r="AN137" s="95">
        <f>+AL137+4</f>
        <v>17</v>
      </c>
      <c r="AO137" s="96">
        <f>+AM137+53+52+69+33</f>
        <v>1022</v>
      </c>
    </row>
    <row r="138" spans="1:41" x14ac:dyDescent="0.25">
      <c r="A138" s="73" t="s">
        <v>140</v>
      </c>
      <c r="B138" s="74"/>
      <c r="C138" s="21">
        <f>SUM(C131:C137)</f>
        <v>97</v>
      </c>
      <c r="D138" s="14">
        <f t="shared" si="173"/>
        <v>4.7783251231527095E-2</v>
      </c>
      <c r="E138" s="21">
        <f>SUM(E131:E137)</f>
        <v>5870</v>
      </c>
      <c r="F138" s="14">
        <f>+E138/$E$158</f>
        <v>6.0695673752998593E-2</v>
      </c>
      <c r="G138" s="17">
        <f t="shared" si="113"/>
        <v>60.515463917525771</v>
      </c>
      <c r="H138" s="18">
        <f>SUM(H131:H137)</f>
        <v>66</v>
      </c>
      <c r="I138" s="63">
        <f>+H138/$C$138</f>
        <v>0.68041237113402064</v>
      </c>
      <c r="J138" s="21">
        <f>SUM(J131:J137)</f>
        <v>29</v>
      </c>
      <c r="K138" s="63">
        <f>+J138/$C$138</f>
        <v>0.29896907216494845</v>
      </c>
      <c r="L138" s="21">
        <f>SUM(L131:L137)</f>
        <v>2</v>
      </c>
      <c r="M138" s="63">
        <f>+L138/$C$138</f>
        <v>2.0618556701030927E-2</v>
      </c>
      <c r="N138" s="24">
        <f t="shared" ref="N138:AN138" si="175">SUM(N131:N137)</f>
        <v>7</v>
      </c>
      <c r="O138" s="27">
        <f t="shared" si="175"/>
        <v>476</v>
      </c>
      <c r="P138" s="24">
        <f t="shared" si="175"/>
        <v>15</v>
      </c>
      <c r="Q138" s="27">
        <f t="shared" si="175"/>
        <v>1059</v>
      </c>
      <c r="R138" s="24">
        <f t="shared" si="175"/>
        <v>18</v>
      </c>
      <c r="S138" s="27">
        <f>SUM(S131:S137)</f>
        <v>1195</v>
      </c>
      <c r="T138" s="24">
        <f t="shared" si="175"/>
        <v>21</v>
      </c>
      <c r="U138" s="27">
        <f>SUM(U131:U137)</f>
        <v>1465</v>
      </c>
      <c r="V138" s="24">
        <f t="shared" si="175"/>
        <v>31</v>
      </c>
      <c r="W138" s="27">
        <f>SUM(W131:W137)</f>
        <v>2631</v>
      </c>
      <c r="X138" s="24">
        <f t="shared" si="175"/>
        <v>36</v>
      </c>
      <c r="Y138" s="27">
        <f>SUM(Y131:Y137)</f>
        <v>2866</v>
      </c>
      <c r="Z138" s="24">
        <f t="shared" si="175"/>
        <v>42</v>
      </c>
      <c r="AA138" s="27">
        <f>SUM(AA131:AA137)</f>
        <v>3400</v>
      </c>
      <c r="AB138" s="24">
        <f t="shared" si="175"/>
        <v>43</v>
      </c>
      <c r="AC138" s="27">
        <f>SUM(AC131:AC137)</f>
        <v>3450</v>
      </c>
      <c r="AD138" s="24">
        <f t="shared" si="175"/>
        <v>55</v>
      </c>
      <c r="AE138" s="27">
        <f>SUM(AE131:AE137)</f>
        <v>3920</v>
      </c>
      <c r="AF138" s="24">
        <f t="shared" si="175"/>
        <v>60</v>
      </c>
      <c r="AG138" s="27">
        <f>SUM(AG131:AG137)</f>
        <v>4149</v>
      </c>
      <c r="AH138" s="24">
        <f t="shared" si="175"/>
        <v>63</v>
      </c>
      <c r="AI138" s="27">
        <f>SUM(AI131:AI137)</f>
        <v>4289</v>
      </c>
      <c r="AJ138" s="24">
        <f t="shared" si="175"/>
        <v>77</v>
      </c>
      <c r="AK138" s="27">
        <f>SUM(AK131:AK137)</f>
        <v>4956</v>
      </c>
      <c r="AL138" s="24">
        <f t="shared" si="175"/>
        <v>83</v>
      </c>
      <c r="AM138" s="27">
        <f>SUM(AM131:AM137)</f>
        <v>5275</v>
      </c>
      <c r="AN138" s="24">
        <f t="shared" si="175"/>
        <v>97</v>
      </c>
      <c r="AO138" s="27">
        <f>SUM(AO131:AO137)</f>
        <v>5870</v>
      </c>
    </row>
    <row r="139" spans="1:41" x14ac:dyDescent="0.25">
      <c r="A139" s="66">
        <v>10</v>
      </c>
      <c r="B139" s="1" t="s">
        <v>106</v>
      </c>
      <c r="C139" s="35">
        <f>1+1</f>
        <v>2</v>
      </c>
      <c r="D139" s="13">
        <f t="shared" si="173"/>
        <v>9.8522167487684722E-4</v>
      </c>
      <c r="E139" s="35">
        <f>40+(17)</f>
        <v>57</v>
      </c>
      <c r="F139" s="13">
        <f>+E139/$E$158</f>
        <v>5.8937877409214986E-4</v>
      </c>
      <c r="G139" s="16">
        <f t="shared" si="113"/>
        <v>28.5</v>
      </c>
      <c r="H139" s="2">
        <v>1</v>
      </c>
      <c r="I139" s="9"/>
      <c r="J139" s="35">
        <v>1</v>
      </c>
      <c r="K139" s="35"/>
      <c r="L139" s="35"/>
      <c r="M139" s="1"/>
      <c r="N139" s="29">
        <v>0</v>
      </c>
      <c r="O139" s="30">
        <v>0</v>
      </c>
      <c r="P139" s="29">
        <f t="shared" ref="P139:W141" si="176">+N139+0</f>
        <v>0</v>
      </c>
      <c r="Q139" s="30">
        <f t="shared" si="176"/>
        <v>0</v>
      </c>
      <c r="R139" s="29">
        <f t="shared" si="176"/>
        <v>0</v>
      </c>
      <c r="S139" s="30">
        <f t="shared" si="176"/>
        <v>0</v>
      </c>
      <c r="T139" s="29">
        <f t="shared" si="176"/>
        <v>0</v>
      </c>
      <c r="U139" s="30">
        <f t="shared" si="176"/>
        <v>0</v>
      </c>
      <c r="V139" s="29">
        <f t="shared" si="176"/>
        <v>0</v>
      </c>
      <c r="W139" s="30">
        <f t="shared" si="176"/>
        <v>0</v>
      </c>
      <c r="X139" s="29">
        <f>+V139+1</f>
        <v>1</v>
      </c>
      <c r="Y139" s="30">
        <f>+W139+40</f>
        <v>40</v>
      </c>
      <c r="Z139" s="29">
        <f t="shared" ref="Z139:AK139" si="177">+X139+0</f>
        <v>1</v>
      </c>
      <c r="AA139" s="30">
        <f t="shared" si="177"/>
        <v>40</v>
      </c>
      <c r="AB139" s="29">
        <f t="shared" si="177"/>
        <v>1</v>
      </c>
      <c r="AC139" s="30">
        <f t="shared" si="177"/>
        <v>40</v>
      </c>
      <c r="AD139" s="29">
        <f t="shared" si="177"/>
        <v>1</v>
      </c>
      <c r="AE139" s="30">
        <f t="shared" si="177"/>
        <v>40</v>
      </c>
      <c r="AF139" s="29">
        <f t="shared" si="177"/>
        <v>1</v>
      </c>
      <c r="AG139" s="30">
        <f t="shared" si="177"/>
        <v>40</v>
      </c>
      <c r="AH139" s="29">
        <f t="shared" si="177"/>
        <v>1</v>
      </c>
      <c r="AI139" s="30">
        <f t="shared" si="177"/>
        <v>40</v>
      </c>
      <c r="AJ139" s="29">
        <f t="shared" si="177"/>
        <v>1</v>
      </c>
      <c r="AK139" s="30">
        <f t="shared" si="177"/>
        <v>40</v>
      </c>
      <c r="AL139" s="31">
        <f>+AJ139+0+(1)</f>
        <v>2</v>
      </c>
      <c r="AM139" s="32">
        <f>+AK139+0+(17)</f>
        <v>57</v>
      </c>
      <c r="AN139" s="99">
        <f t="shared" si="119"/>
        <v>2</v>
      </c>
      <c r="AO139" s="100">
        <f t="shared" si="120"/>
        <v>57</v>
      </c>
    </row>
    <row r="140" spans="1:41" x14ac:dyDescent="0.25">
      <c r="A140" s="67"/>
      <c r="B140" s="1" t="s">
        <v>105</v>
      </c>
      <c r="C140" s="1">
        <v>11</v>
      </c>
      <c r="D140" s="13">
        <f t="shared" si="173"/>
        <v>5.4187192118226599E-3</v>
      </c>
      <c r="E140" s="1">
        <f>174+15+15+15+14+40+21+74+51+32+30+122+20</f>
        <v>623</v>
      </c>
      <c r="F140" s="13">
        <f>+E140/$E$158</f>
        <v>6.4418066010422702E-3</v>
      </c>
      <c r="G140" s="16">
        <f t="shared" si="113"/>
        <v>56.636363636363633</v>
      </c>
      <c r="H140" s="2">
        <v>9</v>
      </c>
      <c r="I140" s="9"/>
      <c r="J140" s="1">
        <v>2</v>
      </c>
      <c r="K140" s="1"/>
      <c r="L140" s="1"/>
      <c r="M140" s="1"/>
      <c r="N140" s="29">
        <v>0</v>
      </c>
      <c r="O140" s="30">
        <v>0</v>
      </c>
      <c r="P140" s="29">
        <f t="shared" si="176"/>
        <v>0</v>
      </c>
      <c r="Q140" s="30">
        <f t="shared" si="176"/>
        <v>0</v>
      </c>
      <c r="R140" s="29">
        <f t="shared" si="176"/>
        <v>0</v>
      </c>
      <c r="S140" s="30">
        <f t="shared" si="176"/>
        <v>0</v>
      </c>
      <c r="T140" s="29">
        <f t="shared" si="176"/>
        <v>0</v>
      </c>
      <c r="U140" s="30">
        <f t="shared" si="176"/>
        <v>0</v>
      </c>
      <c r="V140" s="29">
        <f t="shared" si="176"/>
        <v>0</v>
      </c>
      <c r="W140" s="30">
        <f t="shared" si="176"/>
        <v>0</v>
      </c>
      <c r="X140" s="29">
        <f t="shared" ref="X140:AC145" si="178">+V140+0</f>
        <v>0</v>
      </c>
      <c r="Y140" s="30">
        <f t="shared" si="178"/>
        <v>0</v>
      </c>
      <c r="Z140" s="29">
        <f t="shared" si="178"/>
        <v>0</v>
      </c>
      <c r="AA140" s="30">
        <f t="shared" si="178"/>
        <v>0</v>
      </c>
      <c r="AB140" s="29">
        <f t="shared" si="178"/>
        <v>0</v>
      </c>
      <c r="AC140" s="30">
        <f t="shared" si="178"/>
        <v>0</v>
      </c>
      <c r="AD140" s="29">
        <f>+AB140+1</f>
        <v>1</v>
      </c>
      <c r="AE140" s="30">
        <f>+AC140+40</f>
        <v>40</v>
      </c>
      <c r="AF140" s="29">
        <f>+AD140+3</f>
        <v>4</v>
      </c>
      <c r="AG140" s="30">
        <f>+AE140+84+50+15+15+15+14</f>
        <v>233</v>
      </c>
      <c r="AH140" s="29">
        <f>+AF140+3</f>
        <v>7</v>
      </c>
      <c r="AI140" s="30">
        <f>+AG140+40+21+74</f>
        <v>368</v>
      </c>
      <c r="AJ140" s="29">
        <f>+AH140+0</f>
        <v>7</v>
      </c>
      <c r="AK140" s="30">
        <f>+AI140+0</f>
        <v>368</v>
      </c>
      <c r="AL140" s="31">
        <f>+AJ140+4</f>
        <v>11</v>
      </c>
      <c r="AM140" s="32">
        <f>+AK140+51+32+30+122+20</f>
        <v>623</v>
      </c>
      <c r="AN140" s="99">
        <f t="shared" si="119"/>
        <v>11</v>
      </c>
      <c r="AO140" s="100">
        <f t="shared" si="120"/>
        <v>623</v>
      </c>
    </row>
    <row r="141" spans="1:41" x14ac:dyDescent="0.25">
      <c r="A141" s="67"/>
      <c r="B141" s="1" t="s">
        <v>159</v>
      </c>
      <c r="C141" s="1">
        <v>0</v>
      </c>
      <c r="D141" s="13">
        <f t="shared" si="173"/>
        <v>0</v>
      </c>
      <c r="E141" s="1">
        <v>0</v>
      </c>
      <c r="F141" s="13">
        <f>+E141/$E$158</f>
        <v>0</v>
      </c>
      <c r="G141" s="16" t="str">
        <f>IF(C141=0,"",E141/C141)</f>
        <v/>
      </c>
      <c r="H141" s="2"/>
      <c r="I141" s="9"/>
      <c r="J141" s="1"/>
      <c r="K141" s="1"/>
      <c r="L141" s="1"/>
      <c r="M141" s="1"/>
      <c r="N141" s="29">
        <v>0</v>
      </c>
      <c r="O141" s="30">
        <v>0</v>
      </c>
      <c r="P141" s="29">
        <f t="shared" si="176"/>
        <v>0</v>
      </c>
      <c r="Q141" s="30">
        <f t="shared" si="176"/>
        <v>0</v>
      </c>
      <c r="R141" s="29">
        <f t="shared" si="176"/>
        <v>0</v>
      </c>
      <c r="S141" s="30">
        <f t="shared" si="176"/>
        <v>0</v>
      </c>
      <c r="T141" s="29">
        <f t="shared" si="176"/>
        <v>0</v>
      </c>
      <c r="U141" s="30">
        <f t="shared" si="176"/>
        <v>0</v>
      </c>
      <c r="V141" s="29">
        <f t="shared" si="176"/>
        <v>0</v>
      </c>
      <c r="W141" s="30">
        <f t="shared" si="176"/>
        <v>0</v>
      </c>
      <c r="X141" s="29">
        <f t="shared" si="178"/>
        <v>0</v>
      </c>
      <c r="Y141" s="30">
        <f t="shared" si="178"/>
        <v>0</v>
      </c>
      <c r="Z141" s="29">
        <f t="shared" si="178"/>
        <v>0</v>
      </c>
      <c r="AA141" s="30">
        <f t="shared" si="178"/>
        <v>0</v>
      </c>
      <c r="AB141" s="29">
        <f t="shared" si="178"/>
        <v>0</v>
      </c>
      <c r="AC141" s="30">
        <f t="shared" si="178"/>
        <v>0</v>
      </c>
      <c r="AD141" s="29">
        <f t="shared" ref="AD141:AI141" si="179">+AB141+0</f>
        <v>0</v>
      </c>
      <c r="AE141" s="30">
        <f t="shared" si="179"/>
        <v>0</v>
      </c>
      <c r="AF141" s="29">
        <f t="shared" si="179"/>
        <v>0</v>
      </c>
      <c r="AG141" s="30">
        <f t="shared" si="179"/>
        <v>0</v>
      </c>
      <c r="AH141" s="29">
        <f t="shared" si="179"/>
        <v>0</v>
      </c>
      <c r="AI141" s="30">
        <f t="shared" si="179"/>
        <v>0</v>
      </c>
      <c r="AJ141" s="29">
        <f>+AH141+0</f>
        <v>0</v>
      </c>
      <c r="AK141" s="30">
        <f>+AI141+0</f>
        <v>0</v>
      </c>
      <c r="AL141" s="29">
        <f>+AJ141+0</f>
        <v>0</v>
      </c>
      <c r="AM141" s="30">
        <f>+AK141+0</f>
        <v>0</v>
      </c>
      <c r="AN141" s="99">
        <f t="shared" si="119"/>
        <v>0</v>
      </c>
      <c r="AO141" s="100">
        <f t="shared" si="120"/>
        <v>0</v>
      </c>
    </row>
    <row r="142" spans="1:41" x14ac:dyDescent="0.25">
      <c r="A142" s="67"/>
      <c r="B142" s="1" t="s">
        <v>107</v>
      </c>
      <c r="C142" s="1">
        <v>5</v>
      </c>
      <c r="D142" s="13">
        <f t="shared" si="173"/>
        <v>2.4630541871921183E-3</v>
      </c>
      <c r="E142" s="1">
        <f>37+59+64+18+32</f>
        <v>210</v>
      </c>
      <c r="F142" s="13">
        <f t="shared" ref="F142:F154" si="180">+E142/$E$158</f>
        <v>2.1713954834973945E-3</v>
      </c>
      <c r="G142" s="16">
        <f t="shared" si="113"/>
        <v>42</v>
      </c>
      <c r="H142" s="2">
        <v>5</v>
      </c>
      <c r="I142" s="9"/>
      <c r="J142" s="1"/>
      <c r="K142" s="1"/>
      <c r="L142" s="1"/>
      <c r="M142" s="1"/>
      <c r="N142" s="29">
        <v>0</v>
      </c>
      <c r="O142" s="30">
        <v>0</v>
      </c>
      <c r="P142" s="29">
        <f>+N142+1</f>
        <v>1</v>
      </c>
      <c r="Q142" s="30">
        <f>+O142+37</f>
        <v>37</v>
      </c>
      <c r="R142" s="29">
        <f>+P142+1</f>
        <v>2</v>
      </c>
      <c r="S142" s="30">
        <f>+Q142+59</f>
        <v>96</v>
      </c>
      <c r="T142" s="29">
        <f>+R142+0</f>
        <v>2</v>
      </c>
      <c r="U142" s="30">
        <f>+S142+0</f>
        <v>96</v>
      </c>
      <c r="V142" s="29">
        <f>+T142+0</f>
        <v>2</v>
      </c>
      <c r="W142" s="30">
        <f>+U142+0</f>
        <v>96</v>
      </c>
      <c r="X142" s="29">
        <f t="shared" si="178"/>
        <v>2</v>
      </c>
      <c r="Y142" s="30">
        <f t="shared" si="178"/>
        <v>96</v>
      </c>
      <c r="Z142" s="29">
        <f t="shared" si="178"/>
        <v>2</v>
      </c>
      <c r="AA142" s="30">
        <f t="shared" si="178"/>
        <v>96</v>
      </c>
      <c r="AB142" s="29">
        <f t="shared" si="178"/>
        <v>2</v>
      </c>
      <c r="AC142" s="30">
        <f t="shared" si="178"/>
        <v>96</v>
      </c>
      <c r="AD142" s="29">
        <f t="shared" ref="AD142:AI144" si="181">+AB142+0</f>
        <v>2</v>
      </c>
      <c r="AE142" s="30">
        <f t="shared" si="181"/>
        <v>96</v>
      </c>
      <c r="AF142" s="29">
        <f t="shared" si="181"/>
        <v>2</v>
      </c>
      <c r="AG142" s="30">
        <f t="shared" si="181"/>
        <v>96</v>
      </c>
      <c r="AH142" s="29">
        <f t="shared" si="181"/>
        <v>2</v>
      </c>
      <c r="AI142" s="30">
        <f t="shared" si="181"/>
        <v>96</v>
      </c>
      <c r="AJ142" s="29">
        <f>+AH142+1</f>
        <v>3</v>
      </c>
      <c r="AK142" s="30">
        <f>+AI142+18</f>
        <v>114</v>
      </c>
      <c r="AL142" s="31">
        <f>+AJ142+2</f>
        <v>5</v>
      </c>
      <c r="AM142" s="32">
        <f>+AK142+64+32</f>
        <v>210</v>
      </c>
      <c r="AN142" s="99">
        <f t="shared" si="119"/>
        <v>5</v>
      </c>
      <c r="AO142" s="100">
        <f t="shared" si="120"/>
        <v>210</v>
      </c>
    </row>
    <row r="143" spans="1:41" x14ac:dyDescent="0.25">
      <c r="A143" s="67"/>
      <c r="B143" s="1" t="s">
        <v>144</v>
      </c>
      <c r="C143" s="35">
        <v>1</v>
      </c>
      <c r="D143" s="13">
        <f t="shared" si="173"/>
        <v>4.9261083743842361E-4</v>
      </c>
      <c r="E143" s="35">
        <v>16</v>
      </c>
      <c r="F143" s="13">
        <f t="shared" si="180"/>
        <v>1.6543965588551577E-4</v>
      </c>
      <c r="G143" s="16">
        <f>IF(C143=0,"",E143/C143)</f>
        <v>16</v>
      </c>
      <c r="H143" s="34">
        <f>(1)</f>
        <v>1</v>
      </c>
      <c r="I143" s="33"/>
      <c r="J143" s="1"/>
      <c r="K143" s="1"/>
      <c r="L143" s="1"/>
      <c r="M143" s="1"/>
      <c r="N143" s="29">
        <v>0</v>
      </c>
      <c r="O143" s="30">
        <v>0</v>
      </c>
      <c r="P143" s="29">
        <f t="shared" ref="P143:S145" si="182">+N143+0</f>
        <v>0</v>
      </c>
      <c r="Q143" s="30">
        <f t="shared" si="182"/>
        <v>0</v>
      </c>
      <c r="R143" s="29">
        <f t="shared" si="182"/>
        <v>0</v>
      </c>
      <c r="S143" s="30">
        <f t="shared" si="182"/>
        <v>0</v>
      </c>
      <c r="T143" s="29">
        <f>+R143+0</f>
        <v>0</v>
      </c>
      <c r="U143" s="30">
        <f>+S143+0</f>
        <v>0</v>
      </c>
      <c r="V143" s="29">
        <f t="shared" ref="V143:W145" si="183">+T143+0</f>
        <v>0</v>
      </c>
      <c r="W143" s="30">
        <f t="shared" si="183"/>
        <v>0</v>
      </c>
      <c r="X143" s="29">
        <f t="shared" si="178"/>
        <v>0</v>
      </c>
      <c r="Y143" s="30">
        <f t="shared" si="178"/>
        <v>0</v>
      </c>
      <c r="Z143" s="29">
        <f t="shared" si="178"/>
        <v>0</v>
      </c>
      <c r="AA143" s="30">
        <f t="shared" si="178"/>
        <v>0</v>
      </c>
      <c r="AB143" s="29">
        <f t="shared" si="178"/>
        <v>0</v>
      </c>
      <c r="AC143" s="30">
        <f t="shared" si="178"/>
        <v>0</v>
      </c>
      <c r="AD143" s="29">
        <f t="shared" si="181"/>
        <v>0</v>
      </c>
      <c r="AE143" s="30">
        <f t="shared" si="181"/>
        <v>0</v>
      </c>
      <c r="AF143" s="29">
        <f t="shared" si="181"/>
        <v>0</v>
      </c>
      <c r="AG143" s="30">
        <f t="shared" si="181"/>
        <v>0</v>
      </c>
      <c r="AH143" s="29">
        <f t="shared" si="181"/>
        <v>0</v>
      </c>
      <c r="AI143" s="30">
        <f t="shared" si="181"/>
        <v>0</v>
      </c>
      <c r="AJ143" s="29">
        <f>+AH143+1</f>
        <v>1</v>
      </c>
      <c r="AK143" s="30">
        <f>+AI143+16</f>
        <v>16</v>
      </c>
      <c r="AL143" s="31">
        <f>+AJ143+0</f>
        <v>1</v>
      </c>
      <c r="AM143" s="32">
        <f>+AK143+0</f>
        <v>16</v>
      </c>
      <c r="AN143" s="95">
        <f t="shared" si="119"/>
        <v>1</v>
      </c>
      <c r="AO143" s="96">
        <f t="shared" si="120"/>
        <v>16</v>
      </c>
    </row>
    <row r="144" spans="1:41" x14ac:dyDescent="0.25">
      <c r="A144" s="67"/>
      <c r="B144" s="1" t="s">
        <v>108</v>
      </c>
      <c r="C144" s="1">
        <v>1</v>
      </c>
      <c r="D144" s="13">
        <f t="shared" si="173"/>
        <v>4.9261083743842361E-4</v>
      </c>
      <c r="E144" s="1">
        <v>42</v>
      </c>
      <c r="F144" s="13">
        <f t="shared" si="180"/>
        <v>4.3427909669947886E-4</v>
      </c>
      <c r="G144" s="16">
        <f t="shared" si="113"/>
        <v>42</v>
      </c>
      <c r="H144" s="2">
        <v>1</v>
      </c>
      <c r="I144" s="9"/>
      <c r="J144" s="1"/>
      <c r="K144" s="1"/>
      <c r="L144" s="1"/>
      <c r="M144" s="1"/>
      <c r="N144" s="29">
        <v>0</v>
      </c>
      <c r="O144" s="30">
        <v>0</v>
      </c>
      <c r="P144" s="29">
        <f t="shared" si="182"/>
        <v>0</v>
      </c>
      <c r="Q144" s="30">
        <f t="shared" si="182"/>
        <v>0</v>
      </c>
      <c r="R144" s="29">
        <f t="shared" si="182"/>
        <v>0</v>
      </c>
      <c r="S144" s="30">
        <f t="shared" si="182"/>
        <v>0</v>
      </c>
      <c r="T144" s="29">
        <f>+R144+1</f>
        <v>1</v>
      </c>
      <c r="U144" s="30">
        <f>+S144+42</f>
        <v>42</v>
      </c>
      <c r="V144" s="29">
        <f t="shared" si="183"/>
        <v>1</v>
      </c>
      <c r="W144" s="30">
        <f t="shared" si="183"/>
        <v>42</v>
      </c>
      <c r="X144" s="29">
        <f t="shared" si="178"/>
        <v>1</v>
      </c>
      <c r="Y144" s="30">
        <f t="shared" si="178"/>
        <v>42</v>
      </c>
      <c r="Z144" s="29">
        <f t="shared" si="178"/>
        <v>1</v>
      </c>
      <c r="AA144" s="30">
        <f t="shared" si="178"/>
        <v>42</v>
      </c>
      <c r="AB144" s="29">
        <f t="shared" si="178"/>
        <v>1</v>
      </c>
      <c r="AC144" s="30">
        <f t="shared" si="178"/>
        <v>42</v>
      </c>
      <c r="AD144" s="29">
        <f t="shared" si="181"/>
        <v>1</v>
      </c>
      <c r="AE144" s="30">
        <f t="shared" si="181"/>
        <v>42</v>
      </c>
      <c r="AF144" s="29">
        <f t="shared" si="181"/>
        <v>1</v>
      </c>
      <c r="AG144" s="30">
        <f t="shared" si="181"/>
        <v>42</v>
      </c>
      <c r="AH144" s="29">
        <f t="shared" si="181"/>
        <v>1</v>
      </c>
      <c r="AI144" s="30">
        <f t="shared" si="181"/>
        <v>42</v>
      </c>
      <c r="AJ144" s="29">
        <f t="shared" ref="AJ144:AK146" si="184">+AH144+0</f>
        <v>1</v>
      </c>
      <c r="AK144" s="30">
        <f t="shared" si="184"/>
        <v>42</v>
      </c>
      <c r="AL144" s="29">
        <f>+AJ144+0</f>
        <v>1</v>
      </c>
      <c r="AM144" s="30">
        <f>+AK144+0</f>
        <v>42</v>
      </c>
      <c r="AN144" s="99">
        <f t="shared" si="119"/>
        <v>1</v>
      </c>
      <c r="AO144" s="100">
        <f t="shared" si="120"/>
        <v>42</v>
      </c>
    </row>
    <row r="145" spans="1:41" x14ac:dyDescent="0.25">
      <c r="A145" s="67"/>
      <c r="B145" s="1" t="s">
        <v>124</v>
      </c>
      <c r="C145" s="1">
        <v>2</v>
      </c>
      <c r="D145" s="13">
        <f t="shared" si="173"/>
        <v>9.8522167487684722E-4</v>
      </c>
      <c r="E145" s="1">
        <f>44+30</f>
        <v>74</v>
      </c>
      <c r="F145" s="13">
        <f t="shared" si="180"/>
        <v>7.6515840847051039E-4</v>
      </c>
      <c r="G145" s="16">
        <f t="shared" si="113"/>
        <v>37</v>
      </c>
      <c r="H145" s="2">
        <v>2</v>
      </c>
      <c r="I145" s="9"/>
      <c r="J145" s="1"/>
      <c r="K145" s="1"/>
      <c r="L145" s="1"/>
      <c r="M145" s="1"/>
      <c r="N145" s="29">
        <v>0</v>
      </c>
      <c r="O145" s="30">
        <v>0</v>
      </c>
      <c r="P145" s="29">
        <f t="shared" si="182"/>
        <v>0</v>
      </c>
      <c r="Q145" s="30">
        <f t="shared" si="182"/>
        <v>0</v>
      </c>
      <c r="R145" s="29">
        <f t="shared" si="182"/>
        <v>0</v>
      </c>
      <c r="S145" s="30">
        <f t="shared" si="182"/>
        <v>0</v>
      </c>
      <c r="T145" s="29">
        <f t="shared" ref="T145:U147" si="185">+R145+0</f>
        <v>0</v>
      </c>
      <c r="U145" s="30">
        <f t="shared" si="185"/>
        <v>0</v>
      </c>
      <c r="V145" s="29">
        <f t="shared" si="183"/>
        <v>0</v>
      </c>
      <c r="W145" s="30">
        <f t="shared" si="183"/>
        <v>0</v>
      </c>
      <c r="X145" s="29">
        <f t="shared" si="178"/>
        <v>0</v>
      </c>
      <c r="Y145" s="30">
        <f t="shared" si="178"/>
        <v>0</v>
      </c>
      <c r="Z145" s="29">
        <f t="shared" si="178"/>
        <v>0</v>
      </c>
      <c r="AA145" s="30">
        <f t="shared" si="178"/>
        <v>0</v>
      </c>
      <c r="AB145" s="29">
        <f t="shared" si="178"/>
        <v>0</v>
      </c>
      <c r="AC145" s="30">
        <f t="shared" si="178"/>
        <v>0</v>
      </c>
      <c r="AD145" s="29">
        <f>+AB145+0</f>
        <v>0</v>
      </c>
      <c r="AE145" s="30">
        <f>+AC145+0</f>
        <v>0</v>
      </c>
      <c r="AF145" s="29">
        <f>+AD145+0</f>
        <v>0</v>
      </c>
      <c r="AG145" s="30">
        <f>+AE145+0</f>
        <v>0</v>
      </c>
      <c r="AH145" s="29">
        <v>2</v>
      </c>
      <c r="AI145" s="30">
        <f>+AG145+44+30</f>
        <v>74</v>
      </c>
      <c r="AJ145" s="29">
        <f t="shared" si="184"/>
        <v>2</v>
      </c>
      <c r="AK145" s="30">
        <f t="shared" si="184"/>
        <v>74</v>
      </c>
      <c r="AL145" s="29">
        <f t="shared" ref="AL145:AL152" si="186">+AJ145+0</f>
        <v>2</v>
      </c>
      <c r="AM145" s="30">
        <f>+AK145+0</f>
        <v>74</v>
      </c>
      <c r="AN145" s="99">
        <f t="shared" si="119"/>
        <v>2</v>
      </c>
      <c r="AO145" s="100">
        <f t="shared" si="120"/>
        <v>74</v>
      </c>
    </row>
    <row r="146" spans="1:41" x14ac:dyDescent="0.25">
      <c r="A146" s="67"/>
      <c r="B146" s="1" t="s">
        <v>109</v>
      </c>
      <c r="C146" s="1">
        <v>17</v>
      </c>
      <c r="D146" s="13">
        <f t="shared" si="173"/>
        <v>8.3743842364532011E-3</v>
      </c>
      <c r="E146" s="1">
        <f>465+36+15+5+5+5+5+33+27+40+62+22</f>
        <v>720</v>
      </c>
      <c r="F146" s="13">
        <f t="shared" si="180"/>
        <v>7.4447845148482095E-3</v>
      </c>
      <c r="G146" s="16">
        <f t="shared" si="113"/>
        <v>42.352941176470587</v>
      </c>
      <c r="H146" s="2">
        <v>14</v>
      </c>
      <c r="I146" s="9"/>
      <c r="J146" s="1">
        <v>3</v>
      </c>
      <c r="K146" s="1"/>
      <c r="L146" s="1"/>
      <c r="M146" s="1"/>
      <c r="N146" s="29">
        <v>1</v>
      </c>
      <c r="O146" s="30">
        <v>55</v>
      </c>
      <c r="P146" s="29">
        <f t="shared" ref="P146:Q148" si="187">+N146+0</f>
        <v>1</v>
      </c>
      <c r="Q146" s="30">
        <f t="shared" si="187"/>
        <v>55</v>
      </c>
      <c r="R146" s="29">
        <f>+P146+1</f>
        <v>2</v>
      </c>
      <c r="S146" s="30">
        <f>+Q146+68</f>
        <v>123</v>
      </c>
      <c r="T146" s="29">
        <f t="shared" si="185"/>
        <v>2</v>
      </c>
      <c r="U146" s="30">
        <f t="shared" si="185"/>
        <v>123</v>
      </c>
      <c r="V146" s="29">
        <f>+T146+1</f>
        <v>3</v>
      </c>
      <c r="W146" s="30">
        <f>+U146+60</f>
        <v>183</v>
      </c>
      <c r="X146" s="29">
        <f>+V146+3</f>
        <v>6</v>
      </c>
      <c r="Y146" s="30">
        <f>+W146+78+13+8+12+21+21+14</f>
        <v>350</v>
      </c>
      <c r="Z146" s="29">
        <f>+X146+0</f>
        <v>6</v>
      </c>
      <c r="AA146" s="30">
        <f>+Y146+0</f>
        <v>350</v>
      </c>
      <c r="AB146" s="29">
        <f>+Z146+1</f>
        <v>7</v>
      </c>
      <c r="AC146" s="30">
        <f>+AA146+45</f>
        <v>395</v>
      </c>
      <c r="AD146" s="29">
        <f>+AB146+1</f>
        <v>8</v>
      </c>
      <c r="AE146" s="30">
        <f>+AC146+43</f>
        <v>438</v>
      </c>
      <c r="AF146" s="29">
        <f>+AD146+6</f>
        <v>14</v>
      </c>
      <c r="AG146" s="30">
        <f>+AE146+27+36+15+5+5+5+5+33+27</f>
        <v>596</v>
      </c>
      <c r="AH146" s="29">
        <f>+AF146+3</f>
        <v>17</v>
      </c>
      <c r="AI146" s="30">
        <f>+AG146+40+62+22</f>
        <v>720</v>
      </c>
      <c r="AJ146" s="29">
        <f t="shared" si="184"/>
        <v>17</v>
      </c>
      <c r="AK146" s="30">
        <f t="shared" si="184"/>
        <v>720</v>
      </c>
      <c r="AL146" s="29">
        <f t="shared" si="186"/>
        <v>17</v>
      </c>
      <c r="AM146" s="30">
        <f>+AK146+0</f>
        <v>720</v>
      </c>
      <c r="AN146" s="99">
        <f t="shared" si="119"/>
        <v>17</v>
      </c>
      <c r="AO146" s="100">
        <f t="shared" si="120"/>
        <v>720</v>
      </c>
    </row>
    <row r="147" spans="1:41" x14ac:dyDescent="0.25">
      <c r="A147" s="67"/>
      <c r="B147" s="1" t="s">
        <v>149</v>
      </c>
      <c r="C147" s="35">
        <v>3</v>
      </c>
      <c r="D147" s="13">
        <f t="shared" si="173"/>
        <v>1.477832512315271E-3</v>
      </c>
      <c r="E147" s="35">
        <f>26+89+33</f>
        <v>148</v>
      </c>
      <c r="F147" s="13">
        <f t="shared" si="180"/>
        <v>1.5303168169410208E-3</v>
      </c>
      <c r="G147" s="16">
        <f>IF(C147=0,"",E147/C147)</f>
        <v>49.333333333333336</v>
      </c>
      <c r="H147" s="34">
        <v>3</v>
      </c>
      <c r="I147" s="33"/>
      <c r="J147" s="1"/>
      <c r="K147" s="1"/>
      <c r="L147" s="1"/>
      <c r="M147" s="1"/>
      <c r="N147" s="29">
        <v>0</v>
      </c>
      <c r="O147" s="30">
        <v>0</v>
      </c>
      <c r="P147" s="29">
        <f t="shared" si="187"/>
        <v>0</v>
      </c>
      <c r="Q147" s="30">
        <f t="shared" si="187"/>
        <v>0</v>
      </c>
      <c r="R147" s="29">
        <f>+P147+0</f>
        <v>0</v>
      </c>
      <c r="S147" s="30">
        <f>+Q147+0</f>
        <v>0</v>
      </c>
      <c r="T147" s="29">
        <f t="shared" si="185"/>
        <v>0</v>
      </c>
      <c r="U147" s="30">
        <f t="shared" si="185"/>
        <v>0</v>
      </c>
      <c r="V147" s="29">
        <f>+T147+0</f>
        <v>0</v>
      </c>
      <c r="W147" s="30">
        <f>+U147+0</f>
        <v>0</v>
      </c>
      <c r="X147" s="29">
        <f>+V147+0</f>
        <v>0</v>
      </c>
      <c r="Y147" s="30">
        <f>+W147+0</f>
        <v>0</v>
      </c>
      <c r="Z147" s="29">
        <f>+X147+0</f>
        <v>0</v>
      </c>
      <c r="AA147" s="30">
        <f>+Y147+0</f>
        <v>0</v>
      </c>
      <c r="AB147" s="29">
        <f t="shared" ref="AB147:AI147" si="188">+Z147+0</f>
        <v>0</v>
      </c>
      <c r="AC147" s="30">
        <f t="shared" si="188"/>
        <v>0</v>
      </c>
      <c r="AD147" s="29">
        <f t="shared" si="188"/>
        <v>0</v>
      </c>
      <c r="AE147" s="30">
        <f t="shared" si="188"/>
        <v>0</v>
      </c>
      <c r="AF147" s="29">
        <f t="shared" si="188"/>
        <v>0</v>
      </c>
      <c r="AG147" s="30">
        <f t="shared" si="188"/>
        <v>0</v>
      </c>
      <c r="AH147" s="29">
        <f t="shared" si="188"/>
        <v>0</v>
      </c>
      <c r="AI147" s="30">
        <f t="shared" si="188"/>
        <v>0</v>
      </c>
      <c r="AJ147" s="31">
        <f>+AH147+2</f>
        <v>2</v>
      </c>
      <c r="AK147" s="32">
        <f>+AI147+89+26</f>
        <v>115</v>
      </c>
      <c r="AL147" s="29">
        <f>+AJ147+0</f>
        <v>2</v>
      </c>
      <c r="AM147" s="30">
        <f>+AK147+0</f>
        <v>115</v>
      </c>
      <c r="AN147" s="99">
        <f>+AL147+1</f>
        <v>3</v>
      </c>
      <c r="AO147" s="100">
        <f>+AM147+33</f>
        <v>148</v>
      </c>
    </row>
    <row r="148" spans="1:41" x14ac:dyDescent="0.25">
      <c r="A148" s="67"/>
      <c r="B148" s="1" t="s">
        <v>110</v>
      </c>
      <c r="C148" s="1">
        <v>7</v>
      </c>
      <c r="D148" s="13">
        <f t="shared" si="173"/>
        <v>3.4482758620689655E-3</v>
      </c>
      <c r="E148" s="1">
        <f>37+38+72+48+50+21+27</f>
        <v>293</v>
      </c>
      <c r="F148" s="13">
        <f t="shared" si="180"/>
        <v>3.0296136984035073E-3</v>
      </c>
      <c r="G148" s="16">
        <f t="shared" si="113"/>
        <v>41.857142857142854</v>
      </c>
      <c r="H148" s="2">
        <v>7</v>
      </c>
      <c r="I148" s="9"/>
      <c r="J148" s="1"/>
      <c r="K148" s="1"/>
      <c r="L148" s="1"/>
      <c r="M148" s="1"/>
      <c r="N148" s="29">
        <v>0</v>
      </c>
      <c r="O148" s="30">
        <v>0</v>
      </c>
      <c r="P148" s="29">
        <f t="shared" si="187"/>
        <v>0</v>
      </c>
      <c r="Q148" s="30">
        <f t="shared" si="187"/>
        <v>0</v>
      </c>
      <c r="R148" s="29">
        <f>+P148+2</f>
        <v>2</v>
      </c>
      <c r="S148" s="30">
        <f>+Q148+37+38</f>
        <v>75</v>
      </c>
      <c r="T148" s="29">
        <f>+R148+1</f>
        <v>3</v>
      </c>
      <c r="U148" s="30">
        <f>+S148+72</f>
        <v>147</v>
      </c>
      <c r="V148" s="29">
        <f>+T148+2</f>
        <v>5</v>
      </c>
      <c r="W148" s="30">
        <f>+U148+24+33</f>
        <v>204</v>
      </c>
      <c r="X148" s="29">
        <f>+V148+0</f>
        <v>5</v>
      </c>
      <c r="Y148" s="30">
        <f>+W148+0</f>
        <v>204</v>
      </c>
      <c r="Z148" s="29">
        <f>+X148+1</f>
        <v>6</v>
      </c>
      <c r="AA148" s="30">
        <f>+Y148+48</f>
        <v>252</v>
      </c>
      <c r="AB148" s="29">
        <f>+Z148+2</f>
        <v>8</v>
      </c>
      <c r="AC148" s="30">
        <f>+AA148+50+21</f>
        <v>323</v>
      </c>
      <c r="AD148" s="29">
        <f t="shared" ref="AD148:AI148" si="189">+AB148+0</f>
        <v>8</v>
      </c>
      <c r="AE148" s="30">
        <f t="shared" si="189"/>
        <v>323</v>
      </c>
      <c r="AF148" s="29">
        <f t="shared" si="189"/>
        <v>8</v>
      </c>
      <c r="AG148" s="30">
        <f t="shared" si="189"/>
        <v>323</v>
      </c>
      <c r="AH148" s="29">
        <f t="shared" si="189"/>
        <v>8</v>
      </c>
      <c r="AI148" s="30">
        <f t="shared" si="189"/>
        <v>323</v>
      </c>
      <c r="AJ148" s="29">
        <f>+AH148+0-2</f>
        <v>6</v>
      </c>
      <c r="AK148" s="30">
        <f>+AI148+0-24-33</f>
        <v>266</v>
      </c>
      <c r="AL148" s="29">
        <f t="shared" si="186"/>
        <v>6</v>
      </c>
      <c r="AM148" s="30">
        <f>+AK148+0</f>
        <v>266</v>
      </c>
      <c r="AN148" s="99">
        <f>+AL148+1</f>
        <v>7</v>
      </c>
      <c r="AO148" s="100">
        <f>+AM148+27</f>
        <v>293</v>
      </c>
    </row>
    <row r="149" spans="1:41" x14ac:dyDescent="0.25">
      <c r="A149" s="68"/>
      <c r="B149" s="1" t="s">
        <v>111</v>
      </c>
      <c r="C149" s="1">
        <v>11</v>
      </c>
      <c r="D149" s="13">
        <f t="shared" si="173"/>
        <v>5.4187192118226599E-3</v>
      </c>
      <c r="E149" s="1">
        <f>48+48+3+3+3+3+3+3+64+46+3+3+3+3+3+3+3+22+56+60+60+84</f>
        <v>527</v>
      </c>
      <c r="F149" s="13">
        <f t="shared" si="180"/>
        <v>5.4491686657291757E-3</v>
      </c>
      <c r="G149" s="16">
        <f t="shared" si="113"/>
        <v>47.909090909090907</v>
      </c>
      <c r="H149" s="2">
        <v>9</v>
      </c>
      <c r="I149" s="9"/>
      <c r="J149" s="1">
        <v>2</v>
      </c>
      <c r="K149" s="1"/>
      <c r="L149" s="1"/>
      <c r="M149" s="1"/>
      <c r="N149" s="29">
        <v>0</v>
      </c>
      <c r="O149" s="30">
        <v>0</v>
      </c>
      <c r="P149" s="29">
        <f>+N149+1</f>
        <v>1</v>
      </c>
      <c r="Q149" s="30">
        <f>+O149+48</f>
        <v>48</v>
      </c>
      <c r="R149" s="29">
        <f t="shared" ref="R149:W149" si="190">+P149+0</f>
        <v>1</v>
      </c>
      <c r="S149" s="30">
        <f t="shared" si="190"/>
        <v>48</v>
      </c>
      <c r="T149" s="29">
        <f t="shared" si="190"/>
        <v>1</v>
      </c>
      <c r="U149" s="30">
        <f t="shared" si="190"/>
        <v>48</v>
      </c>
      <c r="V149" s="29">
        <f t="shared" si="190"/>
        <v>1</v>
      </c>
      <c r="W149" s="30">
        <f t="shared" si="190"/>
        <v>48</v>
      </c>
      <c r="X149" s="29">
        <f>+V149+0</f>
        <v>1</v>
      </c>
      <c r="Y149" s="30">
        <f>+W149+0</f>
        <v>48</v>
      </c>
      <c r="Z149" s="29">
        <f>+X149+0</f>
        <v>1</v>
      </c>
      <c r="AA149" s="30">
        <f>+Y149+0</f>
        <v>48</v>
      </c>
      <c r="AB149" s="29">
        <f>+Z149+2</f>
        <v>3</v>
      </c>
      <c r="AC149" s="30">
        <f>+AA149+48+3+3+3+3+3+3</f>
        <v>114</v>
      </c>
      <c r="AD149" s="29">
        <f>+AB149+0</f>
        <v>3</v>
      </c>
      <c r="AE149" s="30">
        <f>+AC149+0</f>
        <v>114</v>
      </c>
      <c r="AF149" s="29">
        <f>+AD149+2</f>
        <v>5</v>
      </c>
      <c r="AG149" s="30">
        <f>+AE149+64+46</f>
        <v>224</v>
      </c>
      <c r="AH149" s="29">
        <f>+AF149+2</f>
        <v>7</v>
      </c>
      <c r="AI149" s="30">
        <f>+AG149+3+3+3+3+3+3+3+22</f>
        <v>267</v>
      </c>
      <c r="AJ149" s="29">
        <f>+AH149+3</f>
        <v>10</v>
      </c>
      <c r="AK149" s="30">
        <f>+AI149+56+60+60</f>
        <v>443</v>
      </c>
      <c r="AL149" s="29">
        <f>+AJ149+1</f>
        <v>11</v>
      </c>
      <c r="AM149" s="30">
        <f>+AK149+84</f>
        <v>527</v>
      </c>
      <c r="AN149" s="99">
        <f t="shared" ref="AN149:AN155" si="191">+AL149+0</f>
        <v>11</v>
      </c>
      <c r="AO149" s="100">
        <f t="shared" ref="AO149:AO155" si="192">+AM149+0</f>
        <v>527</v>
      </c>
    </row>
    <row r="150" spans="1:41" x14ac:dyDescent="0.25">
      <c r="A150" s="73" t="s">
        <v>100</v>
      </c>
      <c r="B150" s="74"/>
      <c r="C150" s="21">
        <f>SUM(C139:C149)</f>
        <v>60</v>
      </c>
      <c r="D150" s="14">
        <f t="shared" si="173"/>
        <v>2.9556650246305417E-2</v>
      </c>
      <c r="E150" s="21">
        <f>SUM(E139:E149)</f>
        <v>2710</v>
      </c>
      <c r="F150" s="14">
        <f t="shared" si="180"/>
        <v>2.802134171560923E-2</v>
      </c>
      <c r="G150" s="17">
        <f t="shared" si="113"/>
        <v>45.166666666666664</v>
      </c>
      <c r="H150" s="18">
        <f>SUM(H139:H149)</f>
        <v>52</v>
      </c>
      <c r="I150" s="63">
        <f>+H150/$C$150</f>
        <v>0.8666666666666667</v>
      </c>
      <c r="J150" s="21">
        <f>SUM(J139:J149)</f>
        <v>8</v>
      </c>
      <c r="K150" s="63">
        <f>+J150/$C$150</f>
        <v>0.13333333333333333</v>
      </c>
      <c r="L150" s="21">
        <f>SUM(L139:L149)</f>
        <v>0</v>
      </c>
      <c r="M150" s="63">
        <f>+L150/$C$150</f>
        <v>0</v>
      </c>
      <c r="N150" s="24">
        <f t="shared" ref="N150:AN150" si="193">SUM(N139:N149)</f>
        <v>1</v>
      </c>
      <c r="O150" s="27">
        <f t="shared" si="193"/>
        <v>55</v>
      </c>
      <c r="P150" s="24">
        <f t="shared" si="193"/>
        <v>3</v>
      </c>
      <c r="Q150" s="27">
        <f t="shared" si="193"/>
        <v>140</v>
      </c>
      <c r="R150" s="24">
        <f t="shared" si="193"/>
        <v>7</v>
      </c>
      <c r="S150" s="27">
        <f>SUM(S139:S149)</f>
        <v>342</v>
      </c>
      <c r="T150" s="24">
        <f t="shared" si="193"/>
        <v>9</v>
      </c>
      <c r="U150" s="27">
        <f>SUM(U139:U149)</f>
        <v>456</v>
      </c>
      <c r="V150" s="24">
        <f t="shared" si="193"/>
        <v>12</v>
      </c>
      <c r="W150" s="27">
        <f>SUM(W139:W149)</f>
        <v>573</v>
      </c>
      <c r="X150" s="24">
        <f t="shared" si="193"/>
        <v>16</v>
      </c>
      <c r="Y150" s="27">
        <f>SUM(Y139:Y149)</f>
        <v>780</v>
      </c>
      <c r="Z150" s="24">
        <f t="shared" si="193"/>
        <v>17</v>
      </c>
      <c r="AA150" s="27">
        <f>SUM(AA139:AA149)</f>
        <v>828</v>
      </c>
      <c r="AB150" s="24">
        <f t="shared" si="193"/>
        <v>22</v>
      </c>
      <c r="AC150" s="27">
        <f>SUM(AC139:AC149)</f>
        <v>1010</v>
      </c>
      <c r="AD150" s="24">
        <f t="shared" si="193"/>
        <v>24</v>
      </c>
      <c r="AE150" s="27">
        <f>SUM(AE139:AE149)</f>
        <v>1093</v>
      </c>
      <c r="AF150" s="24">
        <f t="shared" si="193"/>
        <v>35</v>
      </c>
      <c r="AG150" s="27">
        <f>SUM(AG139:AG149)</f>
        <v>1554</v>
      </c>
      <c r="AH150" s="24">
        <f t="shared" si="193"/>
        <v>45</v>
      </c>
      <c r="AI150" s="27">
        <f>SUM(AI139:AI149)</f>
        <v>1930</v>
      </c>
      <c r="AJ150" s="24">
        <f t="shared" si="193"/>
        <v>50</v>
      </c>
      <c r="AK150" s="27">
        <f>SUM(AK139:AK149)</f>
        <v>2198</v>
      </c>
      <c r="AL150" s="24">
        <f t="shared" si="193"/>
        <v>58</v>
      </c>
      <c r="AM150" s="27">
        <f>SUM(AM139:AM149)</f>
        <v>2650</v>
      </c>
      <c r="AN150" s="24">
        <f t="shared" si="193"/>
        <v>60</v>
      </c>
      <c r="AO150" s="27">
        <f>SUM(AO139:AO149)</f>
        <v>2710</v>
      </c>
    </row>
    <row r="151" spans="1:41" x14ac:dyDescent="0.25">
      <c r="A151" s="66">
        <v>11</v>
      </c>
      <c r="B151" s="1" t="s">
        <v>112</v>
      </c>
      <c r="C151" s="35">
        <f>5+(3)</f>
        <v>8</v>
      </c>
      <c r="D151" s="13">
        <f t="shared" si="173"/>
        <v>3.9408866995073889E-3</v>
      </c>
      <c r="E151" s="35">
        <f>64+24+40+170+82+(63+29+59)</f>
        <v>531</v>
      </c>
      <c r="F151" s="13">
        <f t="shared" si="180"/>
        <v>5.4905285797005546E-3</v>
      </c>
      <c r="G151" s="16">
        <f t="shared" si="113"/>
        <v>66.375</v>
      </c>
      <c r="H151" s="34">
        <f>5+(1)</f>
        <v>6</v>
      </c>
      <c r="I151" s="9"/>
      <c r="J151" s="35">
        <f>0+(2)</f>
        <v>2</v>
      </c>
      <c r="K151" s="1"/>
      <c r="L151" s="1"/>
      <c r="M151" s="1"/>
      <c r="N151" s="29">
        <v>0</v>
      </c>
      <c r="O151" s="30">
        <v>0</v>
      </c>
      <c r="P151" s="29">
        <f t="shared" ref="P151:AE152" si="194">+N151+0</f>
        <v>0</v>
      </c>
      <c r="Q151" s="30">
        <f t="shared" si="194"/>
        <v>0</v>
      </c>
      <c r="R151" s="29">
        <f t="shared" si="194"/>
        <v>0</v>
      </c>
      <c r="S151" s="30">
        <f t="shared" si="194"/>
        <v>0</v>
      </c>
      <c r="T151" s="29">
        <f t="shared" si="194"/>
        <v>0</v>
      </c>
      <c r="U151" s="30">
        <f t="shared" si="194"/>
        <v>0</v>
      </c>
      <c r="V151" s="29">
        <f t="shared" si="194"/>
        <v>0</v>
      </c>
      <c r="W151" s="30">
        <f t="shared" si="194"/>
        <v>0</v>
      </c>
      <c r="X151" s="29">
        <f t="shared" si="194"/>
        <v>0</v>
      </c>
      <c r="Y151" s="30">
        <f t="shared" si="194"/>
        <v>0</v>
      </c>
      <c r="Z151" s="29">
        <f t="shared" si="194"/>
        <v>0</v>
      </c>
      <c r="AA151" s="30">
        <f t="shared" si="194"/>
        <v>0</v>
      </c>
      <c r="AB151" s="29">
        <f t="shared" si="194"/>
        <v>0</v>
      </c>
      <c r="AC151" s="30">
        <f t="shared" si="194"/>
        <v>0</v>
      </c>
      <c r="AD151" s="29">
        <f t="shared" si="194"/>
        <v>0</v>
      </c>
      <c r="AE151" s="30">
        <f t="shared" si="194"/>
        <v>0</v>
      </c>
      <c r="AF151" s="29">
        <f>+AD151+3</f>
        <v>3</v>
      </c>
      <c r="AG151" s="30">
        <f>+AE151+64+24+40</f>
        <v>128</v>
      </c>
      <c r="AH151" s="29">
        <f t="shared" ref="AG151:AM152" si="195">+AF151+0</f>
        <v>3</v>
      </c>
      <c r="AI151" s="30">
        <f t="shared" si="195"/>
        <v>128</v>
      </c>
      <c r="AJ151" s="29">
        <f>+AH151+2</f>
        <v>5</v>
      </c>
      <c r="AK151" s="30">
        <f>+AI151+170+82</f>
        <v>380</v>
      </c>
      <c r="AL151" s="31">
        <f>+AJ151+0+(3)</f>
        <v>8</v>
      </c>
      <c r="AM151" s="32">
        <f>+AK151+0+(63+29+59)</f>
        <v>531</v>
      </c>
      <c r="AN151" s="99">
        <f t="shared" si="191"/>
        <v>8</v>
      </c>
      <c r="AO151" s="100">
        <f t="shared" si="192"/>
        <v>531</v>
      </c>
    </row>
    <row r="152" spans="1:41" x14ac:dyDescent="0.25">
      <c r="A152" s="68"/>
      <c r="B152" s="9" t="s">
        <v>133</v>
      </c>
      <c r="C152" s="1">
        <v>0</v>
      </c>
      <c r="D152" s="13">
        <f t="shared" si="173"/>
        <v>0</v>
      </c>
      <c r="E152" s="1">
        <v>0</v>
      </c>
      <c r="F152" s="13">
        <f t="shared" si="180"/>
        <v>0</v>
      </c>
      <c r="G152" s="16" t="str">
        <f>IF(C152=0,"",E152/C152)</f>
        <v/>
      </c>
      <c r="H152" s="2"/>
      <c r="I152" s="9"/>
      <c r="J152" s="1"/>
      <c r="K152" s="1"/>
      <c r="L152" s="1"/>
      <c r="M152" s="1"/>
      <c r="N152" s="29">
        <v>0</v>
      </c>
      <c r="O152" s="30">
        <v>0</v>
      </c>
      <c r="P152" s="29">
        <f t="shared" si="194"/>
        <v>0</v>
      </c>
      <c r="Q152" s="30">
        <f t="shared" si="194"/>
        <v>0</v>
      </c>
      <c r="R152" s="29">
        <f t="shared" si="194"/>
        <v>0</v>
      </c>
      <c r="S152" s="30">
        <f t="shared" si="194"/>
        <v>0</v>
      </c>
      <c r="T152" s="29">
        <f t="shared" si="194"/>
        <v>0</v>
      </c>
      <c r="U152" s="30">
        <f t="shared" si="194"/>
        <v>0</v>
      </c>
      <c r="V152" s="29">
        <f t="shared" si="194"/>
        <v>0</v>
      </c>
      <c r="W152" s="30">
        <f t="shared" si="194"/>
        <v>0</v>
      </c>
      <c r="X152" s="29">
        <f t="shared" si="194"/>
        <v>0</v>
      </c>
      <c r="Y152" s="30">
        <f t="shared" si="194"/>
        <v>0</v>
      </c>
      <c r="Z152" s="29">
        <f t="shared" si="194"/>
        <v>0</v>
      </c>
      <c r="AA152" s="30">
        <f t="shared" si="194"/>
        <v>0</v>
      </c>
      <c r="AB152" s="29">
        <f t="shared" si="194"/>
        <v>0</v>
      </c>
      <c r="AC152" s="30">
        <f t="shared" si="194"/>
        <v>0</v>
      </c>
      <c r="AD152" s="29">
        <f t="shared" si="194"/>
        <v>0</v>
      </c>
      <c r="AE152" s="30">
        <f t="shared" si="194"/>
        <v>0</v>
      </c>
      <c r="AF152" s="29">
        <f>+AD152+0</f>
        <v>0</v>
      </c>
      <c r="AG152" s="30">
        <f t="shared" si="195"/>
        <v>0</v>
      </c>
      <c r="AH152" s="29">
        <f>+AF152+0</f>
        <v>0</v>
      </c>
      <c r="AI152" s="30">
        <f t="shared" si="195"/>
        <v>0</v>
      </c>
      <c r="AJ152" s="29">
        <f>+AH152+0</f>
        <v>0</v>
      </c>
      <c r="AK152" s="30">
        <f t="shared" si="195"/>
        <v>0</v>
      </c>
      <c r="AL152" s="29">
        <f t="shared" si="186"/>
        <v>0</v>
      </c>
      <c r="AM152" s="30">
        <f t="shared" si="195"/>
        <v>0</v>
      </c>
      <c r="AN152" s="99">
        <f t="shared" si="191"/>
        <v>0</v>
      </c>
      <c r="AO152" s="100">
        <f t="shared" si="192"/>
        <v>0</v>
      </c>
    </row>
    <row r="153" spans="1:41" x14ac:dyDescent="0.25">
      <c r="A153" s="73" t="s">
        <v>141</v>
      </c>
      <c r="B153" s="74"/>
      <c r="C153" s="21">
        <f>SUM(C151:C152)</f>
        <v>8</v>
      </c>
      <c r="D153" s="14">
        <f t="shared" si="173"/>
        <v>3.9408866995073889E-3</v>
      </c>
      <c r="E153" s="21">
        <f t="shared" ref="E153:L153" si="196">SUM(E151:E152)</f>
        <v>531</v>
      </c>
      <c r="F153" s="14">
        <f t="shared" si="196"/>
        <v>5.4905285797005546E-3</v>
      </c>
      <c r="G153" s="17">
        <f t="shared" si="196"/>
        <v>66.375</v>
      </c>
      <c r="H153" s="18">
        <f t="shared" si="196"/>
        <v>6</v>
      </c>
      <c r="I153" s="63">
        <f>+H153/$C$153</f>
        <v>0.75</v>
      </c>
      <c r="J153" s="21">
        <f t="shared" si="196"/>
        <v>2</v>
      </c>
      <c r="K153" s="63">
        <f>+J153/$C$153</f>
        <v>0.25</v>
      </c>
      <c r="L153" s="21">
        <f t="shared" si="196"/>
        <v>0</v>
      </c>
      <c r="M153" s="63">
        <f>+L153/$C$153</f>
        <v>0</v>
      </c>
      <c r="N153" s="24">
        <f t="shared" ref="N153:AO153" si="197">SUM(N151:N152)</f>
        <v>0</v>
      </c>
      <c r="O153" s="27">
        <f t="shared" si="197"/>
        <v>0</v>
      </c>
      <c r="P153" s="24">
        <f t="shared" si="197"/>
        <v>0</v>
      </c>
      <c r="Q153" s="27">
        <f t="shared" si="197"/>
        <v>0</v>
      </c>
      <c r="R153" s="24">
        <f t="shared" si="197"/>
        <v>0</v>
      </c>
      <c r="S153" s="27">
        <f t="shared" si="197"/>
        <v>0</v>
      </c>
      <c r="T153" s="24">
        <f t="shared" si="197"/>
        <v>0</v>
      </c>
      <c r="U153" s="27">
        <f t="shared" si="197"/>
        <v>0</v>
      </c>
      <c r="V153" s="24">
        <f t="shared" si="197"/>
        <v>0</v>
      </c>
      <c r="W153" s="27">
        <f t="shared" si="197"/>
        <v>0</v>
      </c>
      <c r="X153" s="24">
        <f t="shared" si="197"/>
        <v>0</v>
      </c>
      <c r="Y153" s="27">
        <f t="shared" si="197"/>
        <v>0</v>
      </c>
      <c r="Z153" s="24">
        <f t="shared" si="197"/>
        <v>0</v>
      </c>
      <c r="AA153" s="27">
        <f t="shared" si="197"/>
        <v>0</v>
      </c>
      <c r="AB153" s="24">
        <f t="shared" si="197"/>
        <v>0</v>
      </c>
      <c r="AC153" s="27">
        <f t="shared" si="197"/>
        <v>0</v>
      </c>
      <c r="AD153" s="24">
        <f t="shared" si="197"/>
        <v>0</v>
      </c>
      <c r="AE153" s="27">
        <f t="shared" si="197"/>
        <v>0</v>
      </c>
      <c r="AF153" s="24">
        <f t="shared" si="197"/>
        <v>3</v>
      </c>
      <c r="AG153" s="27">
        <f t="shared" si="197"/>
        <v>128</v>
      </c>
      <c r="AH153" s="24">
        <f t="shared" si="197"/>
        <v>3</v>
      </c>
      <c r="AI153" s="27">
        <f t="shared" si="197"/>
        <v>128</v>
      </c>
      <c r="AJ153" s="24">
        <f t="shared" si="197"/>
        <v>5</v>
      </c>
      <c r="AK153" s="27">
        <f t="shared" si="197"/>
        <v>380</v>
      </c>
      <c r="AL153" s="24">
        <f t="shared" si="197"/>
        <v>8</v>
      </c>
      <c r="AM153" s="27">
        <f t="shared" si="197"/>
        <v>531</v>
      </c>
      <c r="AN153" s="24">
        <f t="shared" si="197"/>
        <v>8</v>
      </c>
      <c r="AO153" s="27">
        <f t="shared" si="197"/>
        <v>531</v>
      </c>
    </row>
    <row r="154" spans="1:41" x14ac:dyDescent="0.25">
      <c r="A154" s="66">
        <v>12</v>
      </c>
      <c r="B154" s="1" t="s">
        <v>113</v>
      </c>
      <c r="C154" s="1">
        <v>3</v>
      </c>
      <c r="D154" s="13">
        <f t="shared" si="173"/>
        <v>1.477832512315271E-3</v>
      </c>
      <c r="E154" s="1">
        <f>51+51+51</f>
        <v>153</v>
      </c>
      <c r="F154" s="13">
        <f t="shared" si="180"/>
        <v>1.5820167094052445E-3</v>
      </c>
      <c r="G154" s="16">
        <f>IF(C154=0,"",E154/C154)</f>
        <v>51</v>
      </c>
      <c r="H154" s="2">
        <v>3</v>
      </c>
      <c r="I154" s="9"/>
      <c r="J154" s="1"/>
      <c r="K154" s="1"/>
      <c r="L154" s="1"/>
      <c r="M154" s="1"/>
      <c r="N154" s="29">
        <v>0</v>
      </c>
      <c r="O154" s="30">
        <v>0</v>
      </c>
      <c r="P154" s="29">
        <f t="shared" ref="P154:AE156" si="198">+N154+0</f>
        <v>0</v>
      </c>
      <c r="Q154" s="30">
        <f t="shared" si="198"/>
        <v>0</v>
      </c>
      <c r="R154" s="29">
        <f t="shared" si="198"/>
        <v>0</v>
      </c>
      <c r="S154" s="30">
        <f t="shared" si="198"/>
        <v>0</v>
      </c>
      <c r="T154" s="29">
        <f t="shared" si="198"/>
        <v>0</v>
      </c>
      <c r="U154" s="30">
        <f t="shared" si="198"/>
        <v>0</v>
      </c>
      <c r="V154" s="29">
        <f t="shared" si="198"/>
        <v>0</v>
      </c>
      <c r="W154" s="30">
        <f t="shared" si="198"/>
        <v>0</v>
      </c>
      <c r="X154" s="29">
        <f t="shared" si="198"/>
        <v>0</v>
      </c>
      <c r="Y154" s="30">
        <f t="shared" si="198"/>
        <v>0</v>
      </c>
      <c r="Z154" s="29">
        <f t="shared" si="198"/>
        <v>0</v>
      </c>
      <c r="AA154" s="30">
        <f t="shared" si="198"/>
        <v>0</v>
      </c>
      <c r="AB154" s="29">
        <f t="shared" si="198"/>
        <v>0</v>
      </c>
      <c r="AC154" s="30">
        <f t="shared" si="198"/>
        <v>0</v>
      </c>
      <c r="AD154" s="29">
        <f t="shared" si="198"/>
        <v>0</v>
      </c>
      <c r="AE154" s="30">
        <f t="shared" si="198"/>
        <v>0</v>
      </c>
      <c r="AF154" s="29">
        <f>+AD154+1</f>
        <v>1</v>
      </c>
      <c r="AG154" s="30">
        <f>+AE154+51</f>
        <v>51</v>
      </c>
      <c r="AH154" s="29">
        <f t="shared" ref="AH154:AI156" si="199">+AF154+0</f>
        <v>1</v>
      </c>
      <c r="AI154" s="30">
        <f t="shared" si="199"/>
        <v>51</v>
      </c>
      <c r="AJ154" s="29">
        <f>+AH154+2</f>
        <v>3</v>
      </c>
      <c r="AK154" s="30">
        <f>+AI154+51+51</f>
        <v>153</v>
      </c>
      <c r="AL154" s="29">
        <f t="shared" ref="AL154:AM156" si="200">+AJ154+0</f>
        <v>3</v>
      </c>
      <c r="AM154" s="30">
        <f t="shared" si="200"/>
        <v>153</v>
      </c>
      <c r="AN154" s="99">
        <f t="shared" si="191"/>
        <v>3</v>
      </c>
      <c r="AO154" s="100">
        <f t="shared" si="192"/>
        <v>153</v>
      </c>
    </row>
    <row r="155" spans="1:41" x14ac:dyDescent="0.25">
      <c r="A155" s="67"/>
      <c r="B155" s="1" t="s">
        <v>166</v>
      </c>
      <c r="C155" s="1">
        <v>0</v>
      </c>
      <c r="D155" s="13">
        <f t="shared" si="173"/>
        <v>0</v>
      </c>
      <c r="E155" s="1">
        <v>0</v>
      </c>
      <c r="F155" s="13">
        <f>+E155/$E$158</f>
        <v>0</v>
      </c>
      <c r="G155" s="16" t="str">
        <f>IF(C155=0,"",E155/C155)</f>
        <v/>
      </c>
      <c r="H155" s="2"/>
      <c r="I155" s="9"/>
      <c r="J155" s="1"/>
      <c r="K155" s="1"/>
      <c r="L155" s="1"/>
      <c r="M155" s="1"/>
      <c r="N155" s="29">
        <v>0</v>
      </c>
      <c r="O155" s="30">
        <v>0</v>
      </c>
      <c r="P155" s="29">
        <f t="shared" ref="P155:AG155" si="201">+N155+0</f>
        <v>0</v>
      </c>
      <c r="Q155" s="30">
        <f t="shared" si="201"/>
        <v>0</v>
      </c>
      <c r="R155" s="29">
        <f t="shared" si="201"/>
        <v>0</v>
      </c>
      <c r="S155" s="30">
        <f t="shared" si="201"/>
        <v>0</v>
      </c>
      <c r="T155" s="29">
        <f t="shared" si="201"/>
        <v>0</v>
      </c>
      <c r="U155" s="30">
        <f t="shared" si="201"/>
        <v>0</v>
      </c>
      <c r="V155" s="29">
        <f t="shared" si="201"/>
        <v>0</v>
      </c>
      <c r="W155" s="30">
        <f t="shared" si="201"/>
        <v>0</v>
      </c>
      <c r="X155" s="29">
        <f t="shared" si="201"/>
        <v>0</v>
      </c>
      <c r="Y155" s="30">
        <f t="shared" si="201"/>
        <v>0</v>
      </c>
      <c r="Z155" s="29">
        <f t="shared" si="201"/>
        <v>0</v>
      </c>
      <c r="AA155" s="30">
        <f t="shared" si="201"/>
        <v>0</v>
      </c>
      <c r="AB155" s="29">
        <f t="shared" si="201"/>
        <v>0</v>
      </c>
      <c r="AC155" s="30">
        <f t="shared" si="201"/>
        <v>0</v>
      </c>
      <c r="AD155" s="29">
        <f t="shared" si="201"/>
        <v>0</v>
      </c>
      <c r="AE155" s="30">
        <f t="shared" si="201"/>
        <v>0</v>
      </c>
      <c r="AF155" s="29">
        <f t="shared" si="201"/>
        <v>0</v>
      </c>
      <c r="AG155" s="30">
        <f t="shared" si="201"/>
        <v>0</v>
      </c>
      <c r="AH155" s="29">
        <f t="shared" si="199"/>
        <v>0</v>
      </c>
      <c r="AI155" s="30">
        <f t="shared" si="199"/>
        <v>0</v>
      </c>
      <c r="AJ155" s="29">
        <f>+AH155+0</f>
        <v>0</v>
      </c>
      <c r="AK155" s="30">
        <f>+AI155+0</f>
        <v>0</v>
      </c>
      <c r="AL155" s="29">
        <f t="shared" si="200"/>
        <v>0</v>
      </c>
      <c r="AM155" s="30">
        <f t="shared" si="200"/>
        <v>0</v>
      </c>
      <c r="AN155" s="99">
        <f t="shared" si="191"/>
        <v>0</v>
      </c>
      <c r="AO155" s="100">
        <f t="shared" si="192"/>
        <v>0</v>
      </c>
    </row>
    <row r="156" spans="1:41" x14ac:dyDescent="0.25">
      <c r="A156" s="68"/>
      <c r="B156" s="1" t="s">
        <v>160</v>
      </c>
      <c r="C156" s="1">
        <v>0</v>
      </c>
      <c r="D156" s="13">
        <f t="shared" si="173"/>
        <v>0</v>
      </c>
      <c r="E156" s="1">
        <v>0</v>
      </c>
      <c r="F156" s="13">
        <f>+E156/$E$158</f>
        <v>0</v>
      </c>
      <c r="G156" s="16" t="str">
        <f>IF(C156=0,"",E156/C156)</f>
        <v/>
      </c>
      <c r="H156" s="2"/>
      <c r="I156" s="9"/>
      <c r="J156" s="1"/>
      <c r="K156" s="1"/>
      <c r="L156" s="1"/>
      <c r="M156" s="1"/>
      <c r="N156" s="29">
        <v>0</v>
      </c>
      <c r="O156" s="30">
        <v>0</v>
      </c>
      <c r="P156" s="29">
        <f t="shared" si="198"/>
        <v>0</v>
      </c>
      <c r="Q156" s="30">
        <f t="shared" si="198"/>
        <v>0</v>
      </c>
      <c r="R156" s="29">
        <f t="shared" si="198"/>
        <v>0</v>
      </c>
      <c r="S156" s="30">
        <f t="shared" si="198"/>
        <v>0</v>
      </c>
      <c r="T156" s="29">
        <f t="shared" si="198"/>
        <v>0</v>
      </c>
      <c r="U156" s="30">
        <f t="shared" si="198"/>
        <v>0</v>
      </c>
      <c r="V156" s="29">
        <f t="shared" si="198"/>
        <v>0</v>
      </c>
      <c r="W156" s="30">
        <f t="shared" si="198"/>
        <v>0</v>
      </c>
      <c r="X156" s="29">
        <f t="shared" si="198"/>
        <v>0</v>
      </c>
      <c r="Y156" s="30">
        <f t="shared" si="198"/>
        <v>0</v>
      </c>
      <c r="Z156" s="29">
        <f t="shared" si="198"/>
        <v>0</v>
      </c>
      <c r="AA156" s="30">
        <f t="shared" si="198"/>
        <v>0</v>
      </c>
      <c r="AB156" s="29">
        <f t="shared" si="198"/>
        <v>0</v>
      </c>
      <c r="AC156" s="30">
        <f t="shared" si="198"/>
        <v>0</v>
      </c>
      <c r="AD156" s="29">
        <f t="shared" si="198"/>
        <v>0</v>
      </c>
      <c r="AE156" s="30">
        <f t="shared" si="198"/>
        <v>0</v>
      </c>
      <c r="AF156" s="29">
        <f>+AD156+0</f>
        <v>0</v>
      </c>
      <c r="AG156" s="30">
        <f>+AE156+0</f>
        <v>0</v>
      </c>
      <c r="AH156" s="29">
        <f t="shared" si="199"/>
        <v>0</v>
      </c>
      <c r="AI156" s="30">
        <f t="shared" si="199"/>
        <v>0</v>
      </c>
      <c r="AJ156" s="29">
        <f>+AH156+0</f>
        <v>0</v>
      </c>
      <c r="AK156" s="30">
        <f>+AI156+0</f>
        <v>0</v>
      </c>
      <c r="AL156" s="29">
        <f t="shared" si="200"/>
        <v>0</v>
      </c>
      <c r="AM156" s="30">
        <f t="shared" si="200"/>
        <v>0</v>
      </c>
      <c r="AN156" s="99">
        <f>+AL156+0</f>
        <v>0</v>
      </c>
      <c r="AO156" s="100">
        <f>+AM156+0</f>
        <v>0</v>
      </c>
    </row>
    <row r="157" spans="1:41" ht="15.75" thickBot="1" x14ac:dyDescent="0.3">
      <c r="A157" s="71" t="s">
        <v>142</v>
      </c>
      <c r="B157" s="72"/>
      <c r="C157" s="21">
        <f>SUM(C154:C156)</f>
        <v>3</v>
      </c>
      <c r="D157" s="15">
        <f t="shared" si="173"/>
        <v>1.477832512315271E-3</v>
      </c>
      <c r="E157" s="21">
        <f>SUM(E154:E156)</f>
        <v>153</v>
      </c>
      <c r="F157" s="15">
        <f>SUM(F154:F156)</f>
        <v>1.5820167094052445E-3</v>
      </c>
      <c r="G157" s="21">
        <f>SUM(G154:G156)</f>
        <v>51</v>
      </c>
      <c r="H157" s="43">
        <f>SUM(H154:H156)</f>
        <v>3</v>
      </c>
      <c r="I157" s="64">
        <f>+H157/$C$157</f>
        <v>1</v>
      </c>
      <c r="J157" s="43">
        <f>SUM(J154:J156)</f>
        <v>0</v>
      </c>
      <c r="K157" s="64">
        <f>+J157/$C$157</f>
        <v>0</v>
      </c>
      <c r="L157" s="43">
        <f>SUM(L154:L156)</f>
        <v>0</v>
      </c>
      <c r="M157" s="64">
        <f>+L157/$C$157</f>
        <v>0</v>
      </c>
      <c r="N157" s="23">
        <f t="shared" ref="N157:AO157" si="202">SUM(N154:N156)</f>
        <v>0</v>
      </c>
      <c r="O157" s="21">
        <f t="shared" si="202"/>
        <v>0</v>
      </c>
      <c r="P157" s="21">
        <f t="shared" si="202"/>
        <v>0</v>
      </c>
      <c r="Q157" s="21">
        <f t="shared" si="202"/>
        <v>0</v>
      </c>
      <c r="R157" s="21">
        <f t="shared" si="202"/>
        <v>0</v>
      </c>
      <c r="S157" s="21">
        <f t="shared" si="202"/>
        <v>0</v>
      </c>
      <c r="T157" s="21">
        <f t="shared" si="202"/>
        <v>0</v>
      </c>
      <c r="U157" s="21">
        <f t="shared" si="202"/>
        <v>0</v>
      </c>
      <c r="V157" s="21">
        <f t="shared" si="202"/>
        <v>0</v>
      </c>
      <c r="W157" s="21">
        <f t="shared" si="202"/>
        <v>0</v>
      </c>
      <c r="X157" s="21">
        <f t="shared" si="202"/>
        <v>0</v>
      </c>
      <c r="Y157" s="21">
        <f t="shared" si="202"/>
        <v>0</v>
      </c>
      <c r="Z157" s="21">
        <f t="shared" si="202"/>
        <v>0</v>
      </c>
      <c r="AA157" s="21">
        <f t="shared" si="202"/>
        <v>0</v>
      </c>
      <c r="AB157" s="21">
        <f t="shared" si="202"/>
        <v>0</v>
      </c>
      <c r="AC157" s="21">
        <f t="shared" si="202"/>
        <v>0</v>
      </c>
      <c r="AD157" s="21">
        <f t="shared" si="202"/>
        <v>0</v>
      </c>
      <c r="AE157" s="21">
        <f t="shared" si="202"/>
        <v>0</v>
      </c>
      <c r="AF157" s="21">
        <f t="shared" si="202"/>
        <v>1</v>
      </c>
      <c r="AG157" s="21">
        <f t="shared" si="202"/>
        <v>51</v>
      </c>
      <c r="AH157" s="21">
        <f t="shared" si="202"/>
        <v>1</v>
      </c>
      <c r="AI157" s="21">
        <f t="shared" si="202"/>
        <v>51</v>
      </c>
      <c r="AJ157" s="21">
        <f t="shared" si="202"/>
        <v>3</v>
      </c>
      <c r="AK157" s="21">
        <f t="shared" si="202"/>
        <v>153</v>
      </c>
      <c r="AL157" s="21">
        <f t="shared" si="202"/>
        <v>3</v>
      </c>
      <c r="AM157" s="21">
        <f t="shared" si="202"/>
        <v>153</v>
      </c>
      <c r="AN157" s="21">
        <f t="shared" si="202"/>
        <v>3</v>
      </c>
      <c r="AO157" s="21">
        <f t="shared" si="202"/>
        <v>153</v>
      </c>
    </row>
    <row r="158" spans="1:41" ht="21.75" thickBot="1" x14ac:dyDescent="0.4">
      <c r="A158" s="69" t="s">
        <v>114</v>
      </c>
      <c r="B158" s="70"/>
      <c r="C158" s="25">
        <f>+C7+C10+C15+C24+C35+C54+C79+C93+C108+C130+C138+C150+C153+C157</f>
        <v>2030</v>
      </c>
      <c r="D158" s="41"/>
      <c r="E158" s="25">
        <f>+E7+E10+E15+E24+E35+E54+E79+E93+E108+E130+E138+E150+E153+E157</f>
        <v>96712</v>
      </c>
      <c r="F158" s="10"/>
      <c r="G158" s="19">
        <f>IF(C158=0,"",E158/C158)</f>
        <v>47.641379310344824</v>
      </c>
      <c r="H158" s="20">
        <f>+H7+H10+H15+H24+H35+H54+H79+H93+H108+H130+H138+H150+H153+H157</f>
        <v>1564</v>
      </c>
      <c r="I158" s="65">
        <f>+H158/$C$158</f>
        <v>0.77044334975369455</v>
      </c>
      <c r="J158" s="22">
        <f>+J7+J10+J15+J24+J35+J54+J79+J93+J108+J130+J138+J150+J153+J157</f>
        <v>403</v>
      </c>
      <c r="K158" s="65">
        <f>+J158/$C$158</f>
        <v>0.19852216748768473</v>
      </c>
      <c r="L158" s="22">
        <f>+L7+L10+L15+L24+L35+L54+L79+L93+L108+L130+L138+L150+L153+L157</f>
        <v>63</v>
      </c>
      <c r="M158" s="65">
        <f>+L158/$C$158</f>
        <v>3.1034482758620689E-2</v>
      </c>
      <c r="N158" s="26">
        <f t="shared" ref="N158:AO158" si="203">+N7+N10+N15+N24+N35+N54+N79+N93+N108+N130+N138+N150+N153+N157</f>
        <v>415</v>
      </c>
      <c r="O158" s="28">
        <f t="shared" si="203"/>
        <v>24244</v>
      </c>
      <c r="P158" s="26">
        <f t="shared" si="203"/>
        <v>467</v>
      </c>
      <c r="Q158" s="28">
        <f t="shared" si="203"/>
        <v>26781</v>
      </c>
      <c r="R158" s="26">
        <f t="shared" si="203"/>
        <v>502</v>
      </c>
      <c r="S158" s="28">
        <f t="shared" si="203"/>
        <v>28607</v>
      </c>
      <c r="T158" s="26">
        <f t="shared" si="203"/>
        <v>716</v>
      </c>
      <c r="U158" s="28">
        <f t="shared" si="203"/>
        <v>39535</v>
      </c>
      <c r="V158" s="26">
        <f t="shared" si="203"/>
        <v>828</v>
      </c>
      <c r="W158" s="28">
        <f t="shared" si="203"/>
        <v>45443</v>
      </c>
      <c r="X158" s="26">
        <f t="shared" si="203"/>
        <v>920</v>
      </c>
      <c r="Y158" s="28">
        <f t="shared" si="203"/>
        <v>49812</v>
      </c>
      <c r="Z158" s="26">
        <f t="shared" si="203"/>
        <v>1157</v>
      </c>
      <c r="AA158" s="28">
        <f t="shared" si="203"/>
        <v>60900</v>
      </c>
      <c r="AB158" s="26">
        <f t="shared" si="203"/>
        <v>1324</v>
      </c>
      <c r="AC158" s="28">
        <f t="shared" si="203"/>
        <v>67776</v>
      </c>
      <c r="AD158" s="26">
        <f t="shared" si="203"/>
        <v>1576</v>
      </c>
      <c r="AE158" s="28">
        <f t="shared" si="203"/>
        <v>78523</v>
      </c>
      <c r="AF158" s="26">
        <f t="shared" si="203"/>
        <v>1720</v>
      </c>
      <c r="AG158" s="28">
        <f t="shared" si="203"/>
        <v>84711</v>
      </c>
      <c r="AH158" s="26">
        <f t="shared" si="203"/>
        <v>1793</v>
      </c>
      <c r="AI158" s="28">
        <f t="shared" si="203"/>
        <v>87506</v>
      </c>
      <c r="AJ158" s="26">
        <f t="shared" si="203"/>
        <v>1881</v>
      </c>
      <c r="AK158" s="28">
        <f t="shared" si="203"/>
        <v>91198</v>
      </c>
      <c r="AL158" s="26">
        <f t="shared" si="203"/>
        <v>1952</v>
      </c>
      <c r="AM158" s="28">
        <f t="shared" si="203"/>
        <v>93979</v>
      </c>
      <c r="AN158" s="26">
        <f t="shared" si="203"/>
        <v>2030</v>
      </c>
      <c r="AO158" s="28">
        <f t="shared" si="203"/>
        <v>96712</v>
      </c>
    </row>
    <row r="159" spans="1:41" x14ac:dyDescent="0.25">
      <c r="A159" s="10"/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55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x14ac:dyDescent="0.25"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5:82" x14ac:dyDescent="0.25">
      <c r="E161" s="10"/>
      <c r="M161" s="7"/>
      <c r="O161" s="4"/>
      <c r="AG161" s="7"/>
      <c r="AO161" s="8"/>
    </row>
    <row r="162" spans="5:82" x14ac:dyDescent="0.25">
      <c r="E162" s="5"/>
      <c r="M162" s="7"/>
      <c r="O162" s="4"/>
      <c r="AG162" s="7"/>
      <c r="AO162" s="8"/>
    </row>
    <row r="163" spans="5:82" x14ac:dyDescent="0.25">
      <c r="E163" s="5"/>
      <c r="M163" s="7"/>
      <c r="O163" s="4"/>
      <c r="AG163" s="7"/>
      <c r="AO163" s="8"/>
    </row>
    <row r="164" spans="5:82" x14ac:dyDescent="0.25">
      <c r="E164" s="5"/>
      <c r="M164" s="7"/>
      <c r="O164" s="4"/>
      <c r="AG164" s="7"/>
      <c r="AO164" s="8"/>
    </row>
    <row r="165" spans="5:82" x14ac:dyDescent="0.25">
      <c r="E165" s="5"/>
      <c r="M165" s="7"/>
      <c r="O165" s="4"/>
      <c r="AG165" s="7"/>
      <c r="AO165" s="8"/>
      <c r="BN165" s="40"/>
      <c r="CB165" s="40"/>
    </row>
    <row r="166" spans="5:82" x14ac:dyDescent="0.25">
      <c r="E166" s="5"/>
      <c r="M166" s="54"/>
      <c r="O166" s="4"/>
      <c r="AG166" s="7"/>
      <c r="AO166" s="8"/>
      <c r="CD166" t="s">
        <v>164</v>
      </c>
    </row>
    <row r="167" spans="5:82" x14ac:dyDescent="0.25">
      <c r="E167" s="5"/>
      <c r="M167" s="54"/>
      <c r="O167" s="4"/>
      <c r="AG167" s="7"/>
      <c r="AO167" s="8"/>
      <c r="CD167" t="s">
        <v>163</v>
      </c>
    </row>
    <row r="168" spans="5:82" x14ac:dyDescent="0.25">
      <c r="E168" s="5"/>
      <c r="M168" s="7"/>
      <c r="O168" s="4"/>
      <c r="AG168" s="7"/>
      <c r="AO168" s="8"/>
    </row>
    <row r="169" spans="5:82" x14ac:dyDescent="0.25">
      <c r="E169" s="5"/>
      <c r="M169" s="7"/>
      <c r="O169" s="4"/>
      <c r="AG169" s="7"/>
      <c r="AO169" s="8"/>
    </row>
    <row r="170" spans="5:82" x14ac:dyDescent="0.25">
      <c r="E170" s="5"/>
      <c r="M170" s="7"/>
      <c r="O170" s="4"/>
      <c r="AG170" s="7"/>
      <c r="AO170" s="8"/>
    </row>
    <row r="171" spans="5:82" x14ac:dyDescent="0.25">
      <c r="E171" s="5"/>
      <c r="M171" s="7"/>
      <c r="O171" s="4"/>
      <c r="AG171" s="7"/>
      <c r="AO171" s="42"/>
    </row>
    <row r="172" spans="5:82" x14ac:dyDescent="0.25">
      <c r="E172" s="5"/>
      <c r="M172" s="7"/>
      <c r="O172" s="4"/>
      <c r="AG172" s="7"/>
      <c r="AO172" s="8"/>
    </row>
    <row r="173" spans="5:82" x14ac:dyDescent="0.25">
      <c r="E173" s="5"/>
      <c r="M173" s="7"/>
      <c r="O173" s="4"/>
      <c r="AG173" s="7"/>
      <c r="AO173" s="8"/>
    </row>
    <row r="174" spans="5:82" x14ac:dyDescent="0.25">
      <c r="E174" s="5"/>
      <c r="M174" s="7"/>
      <c r="O174" s="4"/>
      <c r="AG174" s="7"/>
      <c r="AO174" s="8"/>
    </row>
    <row r="175" spans="5:82" x14ac:dyDescent="0.25">
      <c r="E175" s="5"/>
      <c r="M175" s="7"/>
      <c r="O175" s="4"/>
      <c r="AG175" s="7"/>
      <c r="AO175" s="8"/>
    </row>
    <row r="176" spans="5:82" x14ac:dyDescent="0.25">
      <c r="E176" s="5"/>
      <c r="M176" s="7"/>
      <c r="O176" s="4"/>
      <c r="AG176" s="7"/>
      <c r="AO176" s="8"/>
    </row>
    <row r="177" spans="3:41" x14ac:dyDescent="0.25">
      <c r="E177" s="5"/>
      <c r="M177" s="7"/>
      <c r="O177" s="4"/>
      <c r="AG177" s="7"/>
      <c r="AO177" s="8"/>
    </row>
    <row r="178" spans="3:41" x14ac:dyDescent="0.25">
      <c r="E178" s="5"/>
      <c r="M178" s="7"/>
      <c r="O178" s="4"/>
      <c r="AG178" s="7"/>
      <c r="AO178" s="8"/>
    </row>
    <row r="182" spans="3:41" x14ac:dyDescent="0.25">
      <c r="C182" s="11"/>
    </row>
    <row r="184" spans="3:41" x14ac:dyDescent="0.25">
      <c r="J184"/>
      <c r="K184"/>
    </row>
  </sheetData>
  <sheetProtection password="BBD1" sheet="1" objects="1" scenarios="1"/>
  <sortState ref="A150:C172">
    <sortCondition ref="A150"/>
  </sortState>
  <mergeCells count="49">
    <mergeCell ref="AQ3:AS3"/>
    <mergeCell ref="L1:M1"/>
    <mergeCell ref="AH3:AI3"/>
    <mergeCell ref="A153:B153"/>
    <mergeCell ref="A10:B10"/>
    <mergeCell ref="A15:B15"/>
    <mergeCell ref="A94:A107"/>
    <mergeCell ref="A109:A129"/>
    <mergeCell ref="A131:A137"/>
    <mergeCell ref="A139:A149"/>
    <mergeCell ref="A151:A152"/>
    <mergeCell ref="A150:B150"/>
    <mergeCell ref="A7:B7"/>
    <mergeCell ref="A16:A23"/>
    <mergeCell ref="A25:A34"/>
    <mergeCell ref="A1:G2"/>
    <mergeCell ref="N3:O3"/>
    <mergeCell ref="P3:Q3"/>
    <mergeCell ref="A3:E3"/>
    <mergeCell ref="H2:M3"/>
    <mergeCell ref="A5:A6"/>
    <mergeCell ref="A11:A14"/>
    <mergeCell ref="A35:B35"/>
    <mergeCell ref="A36:A53"/>
    <mergeCell ref="A24:B24"/>
    <mergeCell ref="A8:A9"/>
    <mergeCell ref="AJ3:AK3"/>
    <mergeCell ref="AL3:AM3"/>
    <mergeCell ref="N2:AO2"/>
    <mergeCell ref="R3:S3"/>
    <mergeCell ref="T3:U3"/>
    <mergeCell ref="V3:W3"/>
    <mergeCell ref="X3:Y3"/>
    <mergeCell ref="AN3:AO3"/>
    <mergeCell ref="Z3:AA3"/>
    <mergeCell ref="AB3:AC3"/>
    <mergeCell ref="AD3:AE3"/>
    <mergeCell ref="AF3:AG3"/>
    <mergeCell ref="A154:A156"/>
    <mergeCell ref="A158:B158"/>
    <mergeCell ref="A157:B157"/>
    <mergeCell ref="A54:B54"/>
    <mergeCell ref="A79:B79"/>
    <mergeCell ref="A130:B130"/>
    <mergeCell ref="A138:B138"/>
    <mergeCell ref="A55:A78"/>
    <mergeCell ref="A80:A92"/>
    <mergeCell ref="A108:B108"/>
    <mergeCell ref="A93:B93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3" zoomScaleNormal="53" workbookViewId="0"/>
  </sheetViews>
  <sheetFormatPr baseColWidth="10" defaultRowHeight="15" x14ac:dyDescent="0.25"/>
  <sheetData/>
  <sheetProtection password="BBD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Roa</dc:creator>
  <cp:lastModifiedBy>Gustavo</cp:lastModifiedBy>
  <dcterms:created xsi:type="dcterms:W3CDTF">2016-08-08T13:42:56Z</dcterms:created>
  <dcterms:modified xsi:type="dcterms:W3CDTF">2020-07-01T23:30:46Z</dcterms:modified>
</cp:coreProperties>
</file>