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.guajardo\Desktop\pequeña agricultura 2019\"/>
    </mc:Choice>
  </mc:AlternateContent>
  <xr:revisionPtr revIDLastSave="0" documentId="8_{06A63025-B958-419B-B28C-72F17D7563A2}" xr6:coauthVersionLast="40" xr6:coauthVersionMax="40" xr10:uidLastSave="{00000000-0000-0000-0000-000000000000}"/>
  <bookViews>
    <workbookView xWindow="-120" yWindow="-120" windowWidth="24240" windowHeight="13140" activeTab="6" xr2:uid="{00000000-000D-0000-FFFF-FFFF00000000}"/>
  </bookViews>
  <sheets>
    <sheet name="ETP" sheetId="7" r:id="rId1"/>
    <sheet name="Diseño goteo-cinta" sheetId="2" r:id="rId2"/>
    <sheet name="SECTOR goteo-cinta " sheetId="3" r:id="rId3"/>
    <sheet name="Diseño Aspersión" sheetId="6" r:id="rId4"/>
    <sheet name="fotovoltaico" sheetId="5" r:id="rId5"/>
    <sheet name="PRESU goteo-cinta" sheetId="4" r:id="rId6"/>
    <sheet name="PRESU aspersión" sheetId="8" r:id="rId7"/>
  </sheets>
  <externalReferences>
    <externalReference r:id="rId8"/>
    <externalReference r:id="rId9"/>
    <externalReference r:id="rId10"/>
  </externalReferences>
  <definedNames>
    <definedName name="\b" localSheetId="3">#REF!</definedName>
    <definedName name="\b" localSheetId="1">#REF!</definedName>
    <definedName name="\b" localSheetId="4">#REF!</definedName>
    <definedName name="\b" localSheetId="6">#REF!</definedName>
    <definedName name="\b" localSheetId="5">#REF!</definedName>
    <definedName name="\b" localSheetId="2">#REF!</definedName>
    <definedName name="\b">#REF!</definedName>
    <definedName name="\g" localSheetId="3">#REF!</definedName>
    <definedName name="\g" localSheetId="1">#REF!</definedName>
    <definedName name="\g" localSheetId="4">#REF!</definedName>
    <definedName name="\g" localSheetId="6">#REF!</definedName>
    <definedName name="\g" localSheetId="5">#REF!</definedName>
    <definedName name="\g" localSheetId="2">#REF!</definedName>
    <definedName name="\g">#REF!</definedName>
    <definedName name="\i" localSheetId="3">#REF!</definedName>
    <definedName name="\i" localSheetId="1">#REF!</definedName>
    <definedName name="\i" localSheetId="4">#REF!</definedName>
    <definedName name="\i" localSheetId="6">#REF!</definedName>
    <definedName name="\i" localSheetId="5">#REF!</definedName>
    <definedName name="\i" localSheetId="2">#REF!</definedName>
    <definedName name="\i">#REF!</definedName>
    <definedName name="\p" localSheetId="3">#REF!</definedName>
    <definedName name="\p" localSheetId="1">#REF!</definedName>
    <definedName name="\p" localSheetId="4">#REF!</definedName>
    <definedName name="\p" localSheetId="6">#REF!</definedName>
    <definedName name="\p" localSheetId="5">#REF!</definedName>
    <definedName name="\p" localSheetId="2">#REF!</definedName>
    <definedName name="\p">#REF!</definedName>
    <definedName name="\r" localSheetId="3">#REF!</definedName>
    <definedName name="\r" localSheetId="1">#REF!</definedName>
    <definedName name="\r" localSheetId="4">#REF!</definedName>
    <definedName name="\r" localSheetId="6">#REF!</definedName>
    <definedName name="\r" localSheetId="5">#REF!</definedName>
    <definedName name="\r" localSheetId="2">#REF!</definedName>
    <definedName name="\r">#REF!</definedName>
    <definedName name="\s" localSheetId="3">#REF!</definedName>
    <definedName name="\s" localSheetId="1">#REF!</definedName>
    <definedName name="\s" localSheetId="4">#REF!</definedName>
    <definedName name="\s" localSheetId="6">#REF!</definedName>
    <definedName name="\s" localSheetId="5">#REF!</definedName>
    <definedName name="\s" localSheetId="2">#REF!</definedName>
    <definedName name="\s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hidden="1">#REF!</definedName>
    <definedName name="_Regression_Out" localSheetId="3" hidden="1">'[1]PRESU solo red de riego'!$AE$2:$AH$9</definedName>
    <definedName name="_Regression_Out" localSheetId="1" hidden="1">'[1]PRESU solo red de riego'!$AE$2:$AH$9</definedName>
    <definedName name="_Regression_Out" localSheetId="4" hidden="1">'[2]PRESU solo red de riego'!$AE$2:$AH$9</definedName>
    <definedName name="_Regression_Out" localSheetId="6" hidden="1">'[1]PRESU solo red de riego'!$AE$2:$AH$9</definedName>
    <definedName name="_Regression_Out" localSheetId="5" hidden="1">'[1]PRESU solo red de riego'!$AE$2:$AH$9</definedName>
    <definedName name="_Regression_Out" localSheetId="2" hidden="1">'[1]PRESU solo red de riego'!$AE$2:$AH$9</definedName>
    <definedName name="_Regression_Out" hidden="1">'[3]PRESU solo red de riego'!$AE$2:$AH$9</definedName>
    <definedName name="_Regression_X" localSheetId="3" hidden="1">'[1]PRESU solo red de riego'!$W$15:$W$34</definedName>
    <definedName name="_Regression_X" localSheetId="1" hidden="1">'[1]PRESU solo red de riego'!$W$15:$W$34</definedName>
    <definedName name="_Regression_X" localSheetId="4" hidden="1">'[2]PRESU solo red de riego'!$W$15:$W$34</definedName>
    <definedName name="_Regression_X" localSheetId="6" hidden="1">'[1]PRESU solo red de riego'!$W$15:$W$34</definedName>
    <definedName name="_Regression_X" localSheetId="5" hidden="1">'[1]PRESU solo red de riego'!$W$15:$W$34</definedName>
    <definedName name="_Regression_X" localSheetId="2" hidden="1">'[1]PRESU solo red de riego'!$W$15:$W$34</definedName>
    <definedName name="_Regression_X" hidden="1">'[3]PRESU solo red de riego'!$W$15:$W$34</definedName>
    <definedName name="_Regression_Y" localSheetId="3" hidden="1">'[1]PRESU solo red de riego'!$G$15:$G$34</definedName>
    <definedName name="_Regression_Y" localSheetId="1" hidden="1">'[1]PRESU solo red de riego'!$G$15:$G$34</definedName>
    <definedName name="_Regression_Y" localSheetId="4" hidden="1">'[2]PRESU solo red de riego'!$G$15:$G$34</definedName>
    <definedName name="_Regression_Y" localSheetId="6" hidden="1">'[1]PRESU solo red de riego'!$G$15:$G$34</definedName>
    <definedName name="_Regression_Y" localSheetId="5" hidden="1">'[1]PRESU solo red de riego'!$G$15:$G$34</definedName>
    <definedName name="_Regression_Y" localSheetId="2" hidden="1">'[1]PRESU solo red de riego'!$G$15:$G$34</definedName>
    <definedName name="_Regression_Y" hidden="1">'[3]PRESU solo red de riego'!$G$15:$G$34</definedName>
    <definedName name="_Sort" localSheetId="3" hidden="1">'[1]PRESU solo red de riego'!$B$15:$AG$34</definedName>
    <definedName name="_Sort" localSheetId="1" hidden="1">'[1]PRESU solo red de riego'!$B$15:$AG$34</definedName>
    <definedName name="_Sort" localSheetId="4" hidden="1">'[2]PRESU solo red de riego'!$B$15:$AG$34</definedName>
    <definedName name="_Sort" localSheetId="6" hidden="1">'[1]PRESU solo red de riego'!$B$15:$AG$34</definedName>
    <definedName name="_Sort" localSheetId="5" hidden="1">'[1]PRESU solo red de riego'!$B$15:$AG$34</definedName>
    <definedName name="_Sort" localSheetId="2" hidden="1">'[1]PRESU solo red de riego'!$B$15:$AG$34</definedName>
    <definedName name="_Sort" hidden="1">'[3]PRESU solo red de riego'!$B$15:$AG$34</definedName>
    <definedName name="A_IMPRESIÓN_IM" localSheetId="3">'[1]PRESU solo red de riego'!$E$8:$N$152</definedName>
    <definedName name="A_IMPRESIÓN_IM" localSheetId="1">'[1]PRESU solo red de riego'!$E$8:$N$152</definedName>
    <definedName name="A_IMPRESIÓN_IM" localSheetId="4">'[2]PRESU solo red de riego'!$E$8:$N$152</definedName>
    <definedName name="A_IMPRESIÓN_IM" localSheetId="6">'[1]PRESU solo red de riego'!$E$8:$N$152</definedName>
    <definedName name="A_IMPRESIÓN_IM" localSheetId="5">'[1]PRESU solo red de riego'!$E$8:$N$152</definedName>
    <definedName name="A_IMPRESIÓN_IM" localSheetId="2">'[1]PRESU solo red de riego'!$E$8:$N$152</definedName>
    <definedName name="A_IMPRESIÓN_IM">'[3]PRESU solo red de riego'!$E$8:$N$152</definedName>
    <definedName name="ALT" localSheetId="3">#REF!</definedName>
    <definedName name="ALT" localSheetId="1">#REF!</definedName>
    <definedName name="ALT" localSheetId="4">#REF!</definedName>
    <definedName name="ALT" localSheetId="6">#REF!</definedName>
    <definedName name="ALT" localSheetId="5">#REF!</definedName>
    <definedName name="ALT" localSheetId="2">#REF!</definedName>
    <definedName name="ALT">#REF!</definedName>
    <definedName name="ALT_G" localSheetId="3">#REF!</definedName>
    <definedName name="ALT_G" localSheetId="1">#REF!</definedName>
    <definedName name="ALT_G" localSheetId="4">#REF!</definedName>
    <definedName name="ALT_G" localSheetId="6">#REF!</definedName>
    <definedName name="ALT_G" localSheetId="5">#REF!</definedName>
    <definedName name="ALT_G" localSheetId="2">#REF!</definedName>
    <definedName name="ALT_G">#REF!</definedName>
    <definedName name="_xlnm.Print_Area" localSheetId="3">'Diseño Aspersión'!#REF!</definedName>
    <definedName name="_xlnm.Print_Area" localSheetId="6">'PRESU aspersión'!$B$4:$G$97</definedName>
    <definedName name="_xlnm.Print_Area" localSheetId="5">'PRESU goteo-cinta'!$B$4:$G$113</definedName>
    <definedName name="basebuscarv">fotovoltaico!$A$12:$J$88</definedName>
    <definedName name="_xlnm.Database" localSheetId="3">#REF!</definedName>
    <definedName name="_xlnm.Database" localSheetId="1">#REF!</definedName>
    <definedName name="_xlnm.Database" localSheetId="4">#REF!</definedName>
    <definedName name="_xlnm.Database" localSheetId="6">#REF!</definedName>
    <definedName name="_xlnm.Database" localSheetId="5">#REF!</definedName>
    <definedName name="_xlnm.Database" localSheetId="2">#REF!</definedName>
    <definedName name="_xlnm.Database">#REF!</definedName>
    <definedName name="bh" localSheetId="3">#REF!</definedName>
    <definedName name="bh" localSheetId="1">#REF!</definedName>
    <definedName name="bh" localSheetId="4">#REF!</definedName>
    <definedName name="bh" localSheetId="6">#REF!</definedName>
    <definedName name="bh" localSheetId="5">#REF!</definedName>
    <definedName name="bh" localSheetId="2">#REF!</definedName>
    <definedName name="bh">#REF!</definedName>
    <definedName name="carlo" localSheetId="3">#REF!</definedName>
    <definedName name="carlo" localSheetId="1">#REF!</definedName>
    <definedName name="carlo" localSheetId="4">#REF!</definedName>
    <definedName name="carlo" localSheetId="6">#REF!</definedName>
    <definedName name="carlo" localSheetId="5">#REF!</definedName>
    <definedName name="carlo" localSheetId="2">#REF!</definedName>
    <definedName name="carlo">#REF!</definedName>
    <definedName name="Colas_de_lavado_submatrices__incluye_fitting_y_válvula_Ø40_mm." localSheetId="3">#REF!</definedName>
    <definedName name="Colas_de_lavado_submatrices__incluye_fitting_y_válvula_Ø40_mm." localSheetId="1">#REF!</definedName>
    <definedName name="Colas_de_lavado_submatrices__incluye_fitting_y_válvula_Ø40_mm." localSheetId="4">#REF!</definedName>
    <definedName name="Colas_de_lavado_submatrices__incluye_fitting_y_válvula_Ø40_mm." localSheetId="6">#REF!</definedName>
    <definedName name="Colas_de_lavado_submatrices__incluye_fitting_y_válvula_Ø40_mm." localSheetId="5">#REF!</definedName>
    <definedName name="Colas_de_lavado_submatrices__incluye_fitting_y_válvula_Ø40_mm." localSheetId="2">#REF!</definedName>
    <definedName name="Colas_de_lavado_submatrices__incluye_fitting_y_válvula_Ø40_mm.">#REF!</definedName>
    <definedName name="cr" localSheetId="3">#REF!</definedName>
    <definedName name="cr" localSheetId="1">#REF!</definedName>
    <definedName name="cr" localSheetId="4">#REF!</definedName>
    <definedName name="cr" localSheetId="6">#REF!</definedName>
    <definedName name="cr" localSheetId="5">#REF!</definedName>
    <definedName name="cr" localSheetId="2">#REF!</definedName>
    <definedName name="cr">#REF!</definedName>
    <definedName name="crl" localSheetId="3">#REF!</definedName>
    <definedName name="crl" localSheetId="1">#REF!</definedName>
    <definedName name="crl" localSheetId="4">#REF!</definedName>
    <definedName name="crl" localSheetId="6">#REF!</definedName>
    <definedName name="crl" localSheetId="5">#REF!</definedName>
    <definedName name="crl" localSheetId="2">#REF!</definedName>
    <definedName name="crl">#REF!</definedName>
    <definedName name="ddd" localSheetId="3">#REF!</definedName>
    <definedName name="ddd" localSheetId="1">#REF!</definedName>
    <definedName name="ddd" localSheetId="4">#REF!</definedName>
    <definedName name="ddd" localSheetId="6">#REF!</definedName>
    <definedName name="ddd" localSheetId="5">#REF!</definedName>
    <definedName name="ddd" localSheetId="2">#REF!</definedName>
    <definedName name="ddd">#REF!</definedName>
    <definedName name="DIR_IMPULS" localSheetId="3">'[1]PRESU solo red de riego'!#REF!</definedName>
    <definedName name="DIR_IMPULS" localSheetId="1">'[1]PRESU solo red de riego'!#REF!</definedName>
    <definedName name="DIR_IMPULS" localSheetId="4">'[2]PRESU solo red de riego'!#REF!</definedName>
    <definedName name="DIR_IMPULS" localSheetId="6">'[1]PRESU solo red de riego'!#REF!</definedName>
    <definedName name="DIR_IMPULS" localSheetId="5">'[1]PRESU solo red de riego'!#REF!</definedName>
    <definedName name="DIR_IMPULS" localSheetId="2">'[1]PRESU solo red de riego'!#REF!</definedName>
    <definedName name="DIR_IMPULS">'[3]PRESU solo red de riego'!#REF!</definedName>
    <definedName name="DIR_PRESU" localSheetId="3">'[1]PRESU solo red de riego'!#REF!</definedName>
    <definedName name="DIR_PRESU" localSheetId="1">'[1]PRESU solo red de riego'!#REF!</definedName>
    <definedName name="DIR_PRESU" localSheetId="4">'[2]PRESU solo red de riego'!#REF!</definedName>
    <definedName name="DIR_PRESU" localSheetId="6">'[1]PRESU solo red de riego'!#REF!</definedName>
    <definedName name="DIR_PRESU" localSheetId="5">'[1]PRESU solo red de riego'!#REF!</definedName>
    <definedName name="DIR_PRESU" localSheetId="2">'[1]PRESU solo red de riego'!#REF!</definedName>
    <definedName name="DIR_PRESU">'[3]PRESU solo red de riego'!#REF!</definedName>
    <definedName name="DISEÑO" localSheetId="3">#REF!</definedName>
    <definedName name="DISEÑO" localSheetId="1">#REF!</definedName>
    <definedName name="DISEÑO" localSheetId="4">#REF!</definedName>
    <definedName name="DISEÑO" localSheetId="6">#REF!</definedName>
    <definedName name="DISEÑO" localSheetId="5">#REF!</definedName>
    <definedName name="DISEÑO" localSheetId="2">#REF!</definedName>
    <definedName name="DISEÑO">#REF!</definedName>
    <definedName name="e" localSheetId="3">#REF!</definedName>
    <definedName name="e" localSheetId="1">#REF!</definedName>
    <definedName name="e" localSheetId="4">#REF!</definedName>
    <definedName name="e" localSheetId="6">#REF!</definedName>
    <definedName name="e" localSheetId="5">#REF!</definedName>
    <definedName name="e" localSheetId="2">#REF!</definedName>
    <definedName name="e">#REF!</definedName>
    <definedName name="FICHA" localSheetId="3">#REF!</definedName>
    <definedName name="FICHA" localSheetId="1">#REF!</definedName>
    <definedName name="FICHA" localSheetId="4">#REF!</definedName>
    <definedName name="FICHA" localSheetId="6">#REF!</definedName>
    <definedName name="FICHA" localSheetId="5">#REF!</definedName>
    <definedName name="FICHA" localSheetId="2">#REF!</definedName>
    <definedName name="FICHA">#REF!</definedName>
    <definedName name="JJ" localSheetId="3">'[1]PRESU solo red de riego'!#REF!</definedName>
    <definedName name="JJ" localSheetId="1">'[1]PRESU solo red de riego'!#REF!</definedName>
    <definedName name="JJ" localSheetId="4">'[2]PRESU solo red de riego'!#REF!</definedName>
    <definedName name="JJ" localSheetId="6">'[1]PRESU solo red de riego'!#REF!</definedName>
    <definedName name="JJ" localSheetId="5">'[1]PRESU solo red de riego'!#REF!</definedName>
    <definedName name="JJ" localSheetId="2">'[1]PRESU solo red de riego'!#REF!</definedName>
    <definedName name="JJ">'[3]PRESU solo red de riego'!#REF!</definedName>
    <definedName name="KK" localSheetId="3">'[1]PRESU solo red de riego'!$E$8:$N$152</definedName>
    <definedName name="KK" localSheetId="1">'[1]PRESU solo red de riego'!$E$8:$N$152</definedName>
    <definedName name="KK" localSheetId="4">'[2]PRESU solo red de riego'!$E$8:$N$152</definedName>
    <definedName name="KK" localSheetId="6">'[1]PRESU solo red de riego'!$E$8:$N$152</definedName>
    <definedName name="KK" localSheetId="5">'[1]PRESU solo red de riego'!$E$8:$N$152</definedName>
    <definedName name="KK" localSheetId="2">'[1]PRESU solo red de riego'!$E$8:$N$152</definedName>
    <definedName name="KK">'[3]PRESU solo red de riego'!$E$8:$N$152</definedName>
    <definedName name="LL" localSheetId="3">'[1]PRESU solo red de riego'!#REF!</definedName>
    <definedName name="LL" localSheetId="1">'[1]PRESU solo red de riego'!#REF!</definedName>
    <definedName name="LL" localSheetId="4">'[2]PRESU solo red de riego'!#REF!</definedName>
    <definedName name="LL" localSheetId="6">'[1]PRESU solo red de riego'!#REF!</definedName>
    <definedName name="LL" localSheetId="5">'[1]PRESU solo red de riego'!#REF!</definedName>
    <definedName name="LL" localSheetId="2">'[1]PRESU solo red de riego'!#REF!</definedName>
    <definedName name="LL">'[3]PRESU solo red de riego'!#REF!</definedName>
    <definedName name="MEMORIA" localSheetId="3">#REF!</definedName>
    <definedName name="MEMORIA" localSheetId="1">#REF!</definedName>
    <definedName name="MEMORIA" localSheetId="4">#REF!</definedName>
    <definedName name="MEMORIA" localSheetId="6">#REF!</definedName>
    <definedName name="MEMORIA" localSheetId="5">#REF!</definedName>
    <definedName name="MEMORIA" localSheetId="2">#REF!</definedName>
    <definedName name="MEMORIA">#REF!</definedName>
    <definedName name="nn" localSheetId="3">#REF!</definedName>
    <definedName name="nn" localSheetId="1">#REF!</definedName>
    <definedName name="nn" localSheetId="4">#REF!</definedName>
    <definedName name="nn" localSheetId="6">#REF!</definedName>
    <definedName name="nn" localSheetId="5">#REF!</definedName>
    <definedName name="nn" localSheetId="2">#REF!</definedName>
    <definedName name="nn">#REF!</definedName>
    <definedName name="Ø125_mm__c_6" localSheetId="3">#REF!</definedName>
    <definedName name="Ø125_mm__c_6" localSheetId="1">#REF!</definedName>
    <definedName name="Ø125_mm__c_6" localSheetId="4">#REF!</definedName>
    <definedName name="Ø125_mm__c_6" localSheetId="6">#REF!</definedName>
    <definedName name="Ø125_mm__c_6" localSheetId="5">#REF!</definedName>
    <definedName name="Ø125_mm__c_6" localSheetId="2">#REF!</definedName>
    <definedName name="Ø125_mm__c_6">#REF!</definedName>
    <definedName name="Ø140_mm__c_4" localSheetId="3">#REF!</definedName>
    <definedName name="Ø140_mm__c_4" localSheetId="1">#REF!</definedName>
    <definedName name="Ø140_mm__c_4" localSheetId="4">#REF!</definedName>
    <definedName name="Ø140_mm__c_4" localSheetId="6">#REF!</definedName>
    <definedName name="Ø140_mm__c_4" localSheetId="5">#REF!</definedName>
    <definedName name="Ø140_mm__c_4" localSheetId="2">#REF!</definedName>
    <definedName name="Ø140_mm__c_4">#REF!</definedName>
    <definedName name="Ø32_mm_c_10" localSheetId="3">#REF!</definedName>
    <definedName name="Ø32_mm_c_10" localSheetId="1">#REF!</definedName>
    <definedName name="Ø32_mm_c_10" localSheetId="4">#REF!</definedName>
    <definedName name="Ø32_mm_c_10" localSheetId="6">#REF!</definedName>
    <definedName name="Ø32_mm_c_10" localSheetId="5">#REF!</definedName>
    <definedName name="Ø32_mm_c_10" localSheetId="2">#REF!</definedName>
    <definedName name="Ø32_mm_c_10">#REF!</definedName>
    <definedName name="p" localSheetId="3">#REF!</definedName>
    <definedName name="p" localSheetId="1">#REF!</definedName>
    <definedName name="p" localSheetId="4">#REF!</definedName>
    <definedName name="p" localSheetId="6">#REF!</definedName>
    <definedName name="p" localSheetId="5">#REF!</definedName>
    <definedName name="p" localSheetId="2">#REF!</definedName>
    <definedName name="p">#REF!</definedName>
    <definedName name="pend" localSheetId="3">#REF!</definedName>
    <definedName name="pend" localSheetId="1">#REF!</definedName>
    <definedName name="pend" localSheetId="4">#REF!</definedName>
    <definedName name="pend" localSheetId="6">#REF!</definedName>
    <definedName name="pend" localSheetId="5">#REF!</definedName>
    <definedName name="pend" localSheetId="2">#REF!</definedName>
    <definedName name="pend">#REF!</definedName>
    <definedName name="PRESUPUESTO" localSheetId="3">#REF!</definedName>
    <definedName name="PRESUPUESTO" localSheetId="1">#REF!</definedName>
    <definedName name="PRESUPUESTO" localSheetId="4">#REF!</definedName>
    <definedName name="PRESUPUESTO" localSheetId="6">#REF!</definedName>
    <definedName name="PRESUPUESTO" localSheetId="5">#REF!</definedName>
    <definedName name="PRESUPUESTO" localSheetId="2">#REF!</definedName>
    <definedName name="PRESUPUESTO">#REF!</definedName>
    <definedName name="s" localSheetId="3">#REF!</definedName>
    <definedName name="s" localSheetId="1">#REF!</definedName>
    <definedName name="s" localSheetId="4">#REF!</definedName>
    <definedName name="s" localSheetId="6">#REF!</definedName>
    <definedName name="s" localSheetId="5">#REF!</definedName>
    <definedName name="s" localSheetId="2">#REF!</definedName>
    <definedName name="s">#REF!</definedName>
    <definedName name="_xlnm.Print_Titles" localSheetId="6">'PRESU aspersión'!$10:$10</definedName>
    <definedName name="_xlnm.Print_Titles" localSheetId="5">'PRESU goteo-cinta'!$7:$7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6" l="1"/>
  <c r="D39" i="6"/>
  <c r="E63" i="8"/>
  <c r="F63" i="8" s="1"/>
  <c r="B105" i="8" l="1"/>
  <c r="C107" i="8"/>
  <c r="H122" i="4"/>
  <c r="E79" i="4"/>
  <c r="F79" i="4" s="1"/>
  <c r="P17" i="6"/>
  <c r="P25" i="6"/>
  <c r="H31" i="5"/>
  <c r="D62" i="2" l="1"/>
  <c r="D43" i="2"/>
  <c r="D63" i="2" l="1"/>
  <c r="C45" i="5"/>
  <c r="D48" i="2" l="1"/>
  <c r="E64" i="2"/>
  <c r="D64" i="2"/>
  <c r="D47" i="2" s="1"/>
  <c r="D8" i="7"/>
  <c r="B40" i="5"/>
  <c r="H32" i="5"/>
  <c r="H30" i="5"/>
  <c r="E30" i="5"/>
  <c r="E29" i="5"/>
  <c r="A30" i="4"/>
  <c r="A29" i="4"/>
  <c r="A22" i="4"/>
  <c r="K68" i="2" l="1"/>
  <c r="K69" i="2" s="1"/>
  <c r="L68" i="6"/>
  <c r="L69" i="6" s="1"/>
  <c r="A88" i="8"/>
  <c r="B63" i="8"/>
  <c r="C43" i="8"/>
  <c r="E40" i="8"/>
  <c r="E39" i="8"/>
  <c r="B38" i="8"/>
  <c r="B35" i="4"/>
  <c r="B29" i="8"/>
  <c r="B30" i="8"/>
  <c r="B31" i="8"/>
  <c r="C32" i="8"/>
  <c r="C33" i="8"/>
  <c r="B5" i="8"/>
  <c r="B7" i="8" s="1"/>
  <c r="C39" i="8" l="1"/>
  <c r="F39" i="8" s="1"/>
  <c r="C40" i="8"/>
  <c r="F40" i="8" s="1"/>
  <c r="C38" i="8"/>
  <c r="B26" i="8"/>
  <c r="B25" i="8"/>
  <c r="B24" i="8"/>
  <c r="B23" i="8"/>
  <c r="B21" i="8"/>
  <c r="B20" i="8"/>
  <c r="B19" i="8"/>
  <c r="B18" i="8"/>
  <c r="B17" i="8"/>
  <c r="B16" i="8"/>
  <c r="E92" i="8"/>
  <c r="F92" i="8" s="1"/>
  <c r="F91" i="8"/>
  <c r="E88" i="8"/>
  <c r="C88" i="8"/>
  <c r="F85" i="8"/>
  <c r="F83" i="8"/>
  <c r="E73" i="8"/>
  <c r="F73" i="8" s="1"/>
  <c r="E67" i="8"/>
  <c r="F67" i="8" s="1"/>
  <c r="G62" i="8"/>
  <c r="E60" i="8"/>
  <c r="F60" i="8" s="1"/>
  <c r="G59" i="8" s="1"/>
  <c r="E57" i="8"/>
  <c r="F57" i="8" s="1"/>
  <c r="G56" i="8" s="1"/>
  <c r="E50" i="8"/>
  <c r="F50" i="8" s="1"/>
  <c r="E49" i="8"/>
  <c r="F49" i="8" s="1"/>
  <c r="E48" i="8"/>
  <c r="E47" i="8"/>
  <c r="F47" i="8" s="1"/>
  <c r="E46" i="8"/>
  <c r="F46" i="8" s="1"/>
  <c r="E43" i="8"/>
  <c r="E38" i="8"/>
  <c r="C34" i="8"/>
  <c r="J32" i="8"/>
  <c r="E16" i="8"/>
  <c r="I2" i="5"/>
  <c r="D6" i="6"/>
  <c r="D6" i="2"/>
  <c r="J33" i="8" l="1"/>
  <c r="F38" i="8"/>
  <c r="G36" i="8" s="1"/>
  <c r="E68" i="8"/>
  <c r="F68" i="8" s="1"/>
  <c r="E75" i="8"/>
  <c r="F75" i="8" s="1"/>
  <c r="E74" i="8"/>
  <c r="F74" i="8" s="1"/>
  <c r="F93" i="8"/>
  <c r="G90" i="8" s="1"/>
  <c r="E18" i="8"/>
  <c r="E69" i="8"/>
  <c r="F69" i="8" s="1"/>
  <c r="E70" i="8"/>
  <c r="F70" i="8" s="1"/>
  <c r="F88" i="8"/>
  <c r="G87" i="8" s="1"/>
  <c r="E17" i="8"/>
  <c r="D35" i="5"/>
  <c r="E35" i="5"/>
  <c r="F35" i="5"/>
  <c r="G35" i="5"/>
  <c r="H35" i="5"/>
  <c r="I35" i="5"/>
  <c r="J35" i="5"/>
  <c r="K35" i="5"/>
  <c r="L35" i="5"/>
  <c r="M35" i="5"/>
  <c r="N35" i="5"/>
  <c r="C35" i="5"/>
  <c r="D15" i="6"/>
  <c r="D15" i="2"/>
  <c r="D17" i="2" s="1"/>
  <c r="O8" i="7"/>
  <c r="N8" i="7"/>
  <c r="M8" i="7"/>
  <c r="L8" i="7"/>
  <c r="K8" i="7"/>
  <c r="J8" i="7"/>
  <c r="I8" i="7"/>
  <c r="H8" i="7"/>
  <c r="G8" i="7"/>
  <c r="F8" i="7"/>
  <c r="E8" i="7"/>
  <c r="C36" i="5"/>
  <c r="F36" i="5" l="1"/>
  <c r="O68" i="6"/>
  <c r="O69" i="6" s="1"/>
  <c r="N68" i="2"/>
  <c r="N69" i="2" s="1"/>
  <c r="N36" i="5"/>
  <c r="W68" i="6"/>
  <c r="W69" i="6" s="1"/>
  <c r="V68" i="2"/>
  <c r="V69" i="2" s="1"/>
  <c r="G36" i="5"/>
  <c r="P68" i="6"/>
  <c r="P69" i="6" s="1"/>
  <c r="O68" i="2"/>
  <c r="O69" i="2" s="1"/>
  <c r="K36" i="5"/>
  <c r="T68" i="6"/>
  <c r="T69" i="6" s="1"/>
  <c r="S68" i="2"/>
  <c r="S69" i="2" s="1"/>
  <c r="H36" i="5"/>
  <c r="Q68" i="6"/>
  <c r="Q69" i="6" s="1"/>
  <c r="P68" i="2"/>
  <c r="P69" i="2" s="1"/>
  <c r="L36" i="5"/>
  <c r="U68" i="6"/>
  <c r="U69" i="6" s="1"/>
  <c r="T68" i="2"/>
  <c r="T69" i="2" s="1"/>
  <c r="E36" i="5"/>
  <c r="N68" i="6"/>
  <c r="N69" i="6" s="1"/>
  <c r="M68" i="2"/>
  <c r="M69" i="2" s="1"/>
  <c r="I36" i="5"/>
  <c r="R68" i="6"/>
  <c r="R69" i="6" s="1"/>
  <c r="Q68" i="2"/>
  <c r="Q69" i="2" s="1"/>
  <c r="M36" i="5"/>
  <c r="V68" i="6"/>
  <c r="V69" i="6" s="1"/>
  <c r="U68" i="2"/>
  <c r="U69" i="2" s="1"/>
  <c r="J36" i="5"/>
  <c r="S68" i="6"/>
  <c r="S69" i="6" s="1"/>
  <c r="R68" i="2"/>
  <c r="R69" i="2" s="1"/>
  <c r="D36" i="5"/>
  <c r="M68" i="6"/>
  <c r="M69" i="6" s="1"/>
  <c r="L68" i="2"/>
  <c r="L69" i="2" s="1"/>
  <c r="D18" i="2"/>
  <c r="C37" i="5"/>
  <c r="C38" i="5" s="1"/>
  <c r="A23" i="8"/>
  <c r="A29" i="8"/>
  <c r="C29" i="8" s="1"/>
  <c r="A30" i="8"/>
  <c r="C30" i="8" s="1"/>
  <c r="A31" i="8"/>
  <c r="C31" i="8" s="1"/>
  <c r="D52" i="6"/>
  <c r="A24" i="8"/>
  <c r="C24" i="8" s="1"/>
  <c r="A26" i="8"/>
  <c r="C26" i="8" s="1"/>
  <c r="A25" i="8"/>
  <c r="C25" i="8" s="1"/>
  <c r="E78" i="8"/>
  <c r="F78" i="8" s="1"/>
  <c r="E77" i="8"/>
  <c r="F77" i="8" s="1"/>
  <c r="E76" i="8"/>
  <c r="F76" i="8" s="1"/>
  <c r="G66" i="8"/>
  <c r="E93" i="8"/>
  <c r="E80" i="8"/>
  <c r="F80" i="8" s="1"/>
  <c r="E79" i="8"/>
  <c r="F79" i="8" s="1"/>
  <c r="J34" i="8"/>
  <c r="E34" i="8" s="1"/>
  <c r="F34" i="8" s="1"/>
  <c r="E19" i="8"/>
  <c r="D59" i="6"/>
  <c r="I59" i="6" s="1"/>
  <c r="D14" i="6"/>
  <c r="D50" i="6" s="1"/>
  <c r="D13" i="6"/>
  <c r="D17" i="6"/>
  <c r="D29" i="6" s="1"/>
  <c r="O70" i="6" l="1"/>
  <c r="S70" i="6"/>
  <c r="W70" i="6"/>
  <c r="N70" i="6"/>
  <c r="R70" i="6"/>
  <c r="V70" i="6"/>
  <c r="P70" i="6"/>
  <c r="T70" i="6"/>
  <c r="L70" i="6"/>
  <c r="M70" i="6"/>
  <c r="Q70" i="6"/>
  <c r="U70" i="6"/>
  <c r="B83" i="8"/>
  <c r="B68" i="8"/>
  <c r="B69" i="8"/>
  <c r="B50" i="8"/>
  <c r="B67" i="8"/>
  <c r="B43" i="8"/>
  <c r="D54" i="6"/>
  <c r="C8" i="8" s="1"/>
  <c r="D61" i="6"/>
  <c r="B57" i="8"/>
  <c r="B60" i="8"/>
  <c r="E21" i="8"/>
  <c r="I32" i="8"/>
  <c r="G72" i="8"/>
  <c r="C23" i="8"/>
  <c r="C48" i="8"/>
  <c r="F43" i="8"/>
  <c r="E20" i="8"/>
  <c r="D18" i="6"/>
  <c r="D22" i="6"/>
  <c r="D26" i="6"/>
  <c r="Q71" i="6" l="1"/>
  <c r="Q72" i="6" s="1"/>
  <c r="P71" i="6"/>
  <c r="P72" i="6" s="1"/>
  <c r="W71" i="6"/>
  <c r="W72" i="6" s="1"/>
  <c r="M71" i="6"/>
  <c r="M72" i="6" s="1"/>
  <c r="V71" i="6"/>
  <c r="V72" i="6" s="1"/>
  <c r="S71" i="6"/>
  <c r="S72" i="6" s="1"/>
  <c r="L71" i="6"/>
  <c r="L72" i="6" s="1"/>
  <c r="R71" i="6"/>
  <c r="R72" i="6" s="1"/>
  <c r="O71" i="6"/>
  <c r="O72" i="6" s="1"/>
  <c r="U71" i="6"/>
  <c r="U72" i="6" s="1"/>
  <c r="T71" i="6"/>
  <c r="T72" i="6" s="1"/>
  <c r="N71" i="6"/>
  <c r="N72" i="6" s="1"/>
  <c r="D28" i="6"/>
  <c r="D31" i="6" s="1"/>
  <c r="A17" i="8"/>
  <c r="C17" i="8" s="1"/>
  <c r="F17" i="8" s="1"/>
  <c r="A21" i="8"/>
  <c r="C21" i="8" s="1"/>
  <c r="F21" i="8" s="1"/>
  <c r="A18" i="8"/>
  <c r="C18" i="8" s="1"/>
  <c r="F18" i="8" s="1"/>
  <c r="A19" i="8"/>
  <c r="C19" i="8" s="1"/>
  <c r="F19" i="8" s="1"/>
  <c r="A16" i="8"/>
  <c r="I33" i="8"/>
  <c r="E33" i="8" s="1"/>
  <c r="F33" i="8" s="1"/>
  <c r="E32" i="8"/>
  <c r="F32" i="8" s="1"/>
  <c r="F48" i="8"/>
  <c r="G45" i="8" s="1"/>
  <c r="L73" i="6" l="1"/>
  <c r="A20" i="8"/>
  <c r="C20" i="8" s="1"/>
  <c r="F20" i="8" s="1"/>
  <c r="C16" i="8"/>
  <c r="F16" i="8" s="1"/>
  <c r="E23" i="8"/>
  <c r="F23" i="8" s="1"/>
  <c r="E24" i="8"/>
  <c r="F24" i="8" s="1"/>
  <c r="L17" i="6"/>
  <c r="E25" i="8" l="1"/>
  <c r="F25" i="8" s="1"/>
  <c r="D34" i="6"/>
  <c r="E29" i="8" l="1"/>
  <c r="F29" i="8" s="1"/>
  <c r="E26" i="8"/>
  <c r="F26" i="8" s="1"/>
  <c r="D36" i="6"/>
  <c r="D35" i="6"/>
  <c r="R10" i="5"/>
  <c r="E31" i="8" l="1"/>
  <c r="F31" i="8" s="1"/>
  <c r="E30" i="8"/>
  <c r="F30" i="8" s="1"/>
  <c r="G42" i="8"/>
  <c r="D40" i="6"/>
  <c r="D32" i="6" s="1"/>
  <c r="D38" i="6"/>
  <c r="D55" i="2"/>
  <c r="H26" i="5" l="1"/>
  <c r="A31" i="4"/>
  <c r="A28" i="4" s="1"/>
  <c r="D46" i="2"/>
  <c r="G14" i="8"/>
  <c r="R19" i="5"/>
  <c r="R18" i="5"/>
  <c r="R17" i="5"/>
  <c r="R16" i="5"/>
  <c r="R15" i="5"/>
  <c r="R14" i="5"/>
  <c r="R13" i="5"/>
  <c r="R12" i="5"/>
  <c r="R11" i="5"/>
  <c r="R9" i="5"/>
  <c r="R8" i="5"/>
  <c r="F84" i="8" l="1"/>
  <c r="G95" i="8" s="1"/>
  <c r="F100" i="8" l="1"/>
  <c r="G82" i="8"/>
  <c r="G100" i="8" s="1"/>
  <c r="G96" i="8"/>
  <c r="G97" i="8" s="1"/>
  <c r="B79" i="4"/>
  <c r="C70" i="4"/>
  <c r="C56" i="4"/>
  <c r="B47" i="4"/>
  <c r="B46" i="4"/>
  <c r="B45" i="4"/>
  <c r="B44" i="4"/>
  <c r="C34" i="4" l="1"/>
  <c r="D53" i="2" l="1"/>
  <c r="AB126" i="5"/>
  <c r="B117" i="5" l="1"/>
  <c r="A117" i="5"/>
  <c r="C129" i="5" l="1"/>
  <c r="Q8" i="5" s="1"/>
  <c r="Q15" i="5" l="1"/>
  <c r="Q17" i="5"/>
  <c r="Q19" i="5"/>
  <c r="Q13" i="5"/>
  <c r="Q12" i="5"/>
  <c r="Q16" i="5"/>
  <c r="Q9" i="5"/>
  <c r="Q10" i="5"/>
  <c r="Q14" i="5"/>
  <c r="Q18" i="5"/>
  <c r="Q11" i="5"/>
  <c r="AB13" i="5" l="1"/>
  <c r="AB15" i="5" s="1"/>
  <c r="X117" i="5"/>
  <c r="Y117" i="5"/>
  <c r="Z117" i="5"/>
  <c r="C117" i="5"/>
  <c r="D117" i="5"/>
  <c r="E117" i="5"/>
  <c r="F117" i="5"/>
  <c r="G117" i="5"/>
  <c r="H117" i="5"/>
  <c r="I117" i="5"/>
  <c r="J117" i="5"/>
  <c r="K117" i="5"/>
  <c r="L117" i="5"/>
  <c r="W117" i="5"/>
  <c r="C123" i="4"/>
  <c r="B121" i="4"/>
  <c r="G37" i="5" l="1"/>
  <c r="H37" i="5"/>
  <c r="I37" i="5"/>
  <c r="J37" i="5"/>
  <c r="K37" i="5"/>
  <c r="L37" i="5"/>
  <c r="M37" i="5"/>
  <c r="N37" i="5"/>
  <c r="D37" i="5"/>
  <c r="E37" i="5"/>
  <c r="F37" i="5"/>
  <c r="N38" i="5" l="1"/>
  <c r="F38" i="5"/>
  <c r="J38" i="5"/>
  <c r="I38" i="5"/>
  <c r="G38" i="5"/>
  <c r="H38" i="5"/>
  <c r="M38" i="5"/>
  <c r="K38" i="5"/>
  <c r="L38" i="5"/>
  <c r="D38" i="5"/>
  <c r="E38" i="5"/>
  <c r="G7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D30" i="3"/>
  <c r="F30" i="3"/>
  <c r="D31" i="3"/>
  <c r="F31" i="3"/>
  <c r="D32" i="3"/>
  <c r="F32" i="3"/>
  <c r="D33" i="3"/>
  <c r="F33" i="3"/>
  <c r="D34" i="3"/>
  <c r="F34" i="3"/>
  <c r="D35" i="3"/>
  <c r="F35" i="3"/>
  <c r="D36" i="3"/>
  <c r="F36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F7" i="3"/>
  <c r="D7" i="3"/>
  <c r="C7" i="3" l="1"/>
  <c r="E104" i="4" l="1"/>
  <c r="A104" i="4"/>
  <c r="B70" i="4"/>
  <c r="C22" i="4" l="1"/>
  <c r="E19" i="4" l="1"/>
  <c r="E21" i="4"/>
  <c r="E20" i="4"/>
  <c r="E22" i="4" l="1"/>
  <c r="F22" i="4" s="1"/>
  <c r="E28" i="4"/>
  <c r="E108" i="4"/>
  <c r="F108" i="4" s="1"/>
  <c r="F101" i="4"/>
  <c r="H93" i="4"/>
  <c r="H92" i="4"/>
  <c r="E91" i="4"/>
  <c r="F91" i="4" s="1"/>
  <c r="E89" i="4"/>
  <c r="F89" i="4" s="1"/>
  <c r="E83" i="4"/>
  <c r="F83" i="4" s="1"/>
  <c r="G78" i="4"/>
  <c r="E64" i="4"/>
  <c r="F64" i="4" s="1"/>
  <c r="E62" i="4"/>
  <c r="E61" i="4"/>
  <c r="F61" i="4" s="1"/>
  <c r="E57" i="4"/>
  <c r="E56" i="4"/>
  <c r="E35" i="4"/>
  <c r="C31" i="4"/>
  <c r="C25" i="4"/>
  <c r="C24" i="4"/>
  <c r="C23" i="4"/>
  <c r="E13" i="4"/>
  <c r="E42" i="4" l="1"/>
  <c r="E86" i="4"/>
  <c r="F86" i="4" s="1"/>
  <c r="E60" i="4"/>
  <c r="F60" i="4" s="1"/>
  <c r="E76" i="4"/>
  <c r="F76" i="4" s="1"/>
  <c r="G75" i="4" s="1"/>
  <c r="F99" i="4"/>
  <c r="F107" i="4"/>
  <c r="E38" i="4"/>
  <c r="E70" i="4"/>
  <c r="F70" i="4" s="1"/>
  <c r="G69" i="4" s="1"/>
  <c r="E63" i="4"/>
  <c r="F63" i="4" s="1"/>
  <c r="E84" i="4"/>
  <c r="F84" i="4" s="1"/>
  <c r="E90" i="4"/>
  <c r="F90" i="4" s="1"/>
  <c r="C104" i="4"/>
  <c r="F104" i="4" s="1"/>
  <c r="E40" i="4"/>
  <c r="E53" i="4"/>
  <c r="E15" i="4"/>
  <c r="E39" i="4"/>
  <c r="E50" i="4"/>
  <c r="E52" i="4"/>
  <c r="F56" i="4"/>
  <c r="E73" i="4"/>
  <c r="F73" i="4" s="1"/>
  <c r="G72" i="4" s="1"/>
  <c r="E14" i="4"/>
  <c r="E51" i="4"/>
  <c r="E109" i="4"/>
  <c r="F109" i="4"/>
  <c r="E17" i="4" l="1"/>
  <c r="E30" i="4"/>
  <c r="E85" i="4"/>
  <c r="F85" i="4" s="1"/>
  <c r="G82" i="4" s="1"/>
  <c r="G106" i="4"/>
  <c r="E41" i="4"/>
  <c r="G103" i="4"/>
  <c r="E16" i="4"/>
  <c r="E92" i="4"/>
  <c r="F92" i="4" s="1"/>
  <c r="E25" i="4" l="1"/>
  <c r="F25" i="4" s="1"/>
  <c r="E31" i="4"/>
  <c r="F31" i="4" s="1"/>
  <c r="E93" i="4"/>
  <c r="F93" i="4" s="1"/>
  <c r="E44" i="4" l="1"/>
  <c r="E43" i="4"/>
  <c r="E94" i="4"/>
  <c r="F94" i="4" s="1"/>
  <c r="E29" i="4"/>
  <c r="E24" i="4"/>
  <c r="F24" i="4" s="1"/>
  <c r="E23" i="4"/>
  <c r="F23" i="4" s="1"/>
  <c r="E96" i="4" l="1"/>
  <c r="F96" i="4" s="1"/>
  <c r="E95" i="4"/>
  <c r="F95" i="4" s="1"/>
  <c r="E45" i="4"/>
  <c r="G88" i="4" l="1"/>
  <c r="E46" i="4"/>
  <c r="E47" i="4" l="1"/>
  <c r="B8" i="3" l="1"/>
  <c r="H7" i="3"/>
  <c r="D51" i="2"/>
  <c r="D24" i="2"/>
  <c r="D32" i="2"/>
  <c r="D31" i="2"/>
  <c r="B9" i="3" l="1"/>
  <c r="G8" i="3"/>
  <c r="D54" i="2"/>
  <c r="A35" i="4"/>
  <c r="D26" i="2"/>
  <c r="D27" i="2" s="1"/>
  <c r="D52" i="2" s="1"/>
  <c r="K21" i="2" s="1"/>
  <c r="H25" i="5" l="1"/>
  <c r="H27" i="5" s="1"/>
  <c r="D61" i="2"/>
  <c r="A17" i="4" s="1"/>
  <c r="A16" i="4" s="1"/>
  <c r="A15" i="4" s="1"/>
  <c r="A14" i="4" s="1"/>
  <c r="A21" i="4"/>
  <c r="A19" i="4"/>
  <c r="A20" i="4"/>
  <c r="D56" i="2"/>
  <c r="C35" i="4"/>
  <c r="F35" i="4" s="1"/>
  <c r="G33" i="4" s="1"/>
  <c r="D44" i="2"/>
  <c r="B85" i="4" s="1"/>
  <c r="C8" i="3"/>
  <c r="H8" i="3"/>
  <c r="B10" i="3"/>
  <c r="G9" i="3"/>
  <c r="K51" i="2"/>
  <c r="B76" i="4"/>
  <c r="B73" i="4"/>
  <c r="J8" i="3"/>
  <c r="J27" i="3"/>
  <c r="J25" i="3"/>
  <c r="J11" i="3"/>
  <c r="J19" i="3"/>
  <c r="J35" i="3"/>
  <c r="J14" i="3"/>
  <c r="J7" i="3"/>
  <c r="J17" i="3"/>
  <c r="J33" i="3"/>
  <c r="J21" i="3"/>
  <c r="J31" i="3"/>
  <c r="J10" i="3"/>
  <c r="J36" i="3"/>
  <c r="J28" i="3"/>
  <c r="J20" i="3"/>
  <c r="J23" i="3"/>
  <c r="J29" i="3"/>
  <c r="J34" i="3"/>
  <c r="J26" i="3"/>
  <c r="J18" i="3"/>
  <c r="J15" i="3"/>
  <c r="J13" i="3"/>
  <c r="J32" i="3"/>
  <c r="J24" i="3"/>
  <c r="J16" i="3"/>
  <c r="J9" i="3"/>
  <c r="J30" i="3"/>
  <c r="J22" i="3"/>
  <c r="J12" i="3"/>
  <c r="D29" i="2"/>
  <c r="N15" i="2" s="1"/>
  <c r="D33" i="2"/>
  <c r="H29" i="5" l="1"/>
  <c r="K70" i="2"/>
  <c r="K71" i="2" s="1"/>
  <c r="K72" i="2" s="1"/>
  <c r="D34" i="2"/>
  <c r="U70" i="2"/>
  <c r="U71" i="2" s="1"/>
  <c r="U72" i="2" s="1"/>
  <c r="R70" i="2"/>
  <c r="R71" i="2" s="1"/>
  <c r="R72" i="2" s="1"/>
  <c r="L70" i="2"/>
  <c r="L71" i="2" s="1"/>
  <c r="L72" i="2" s="1"/>
  <c r="P70" i="2"/>
  <c r="P71" i="2" s="1"/>
  <c r="P72" i="2" s="1"/>
  <c r="T70" i="2"/>
  <c r="T71" i="2" s="1"/>
  <c r="T72" i="2" s="1"/>
  <c r="M70" i="2"/>
  <c r="M71" i="2" s="1"/>
  <c r="M72" i="2" s="1"/>
  <c r="N70" i="2"/>
  <c r="N71" i="2" s="1"/>
  <c r="N72" i="2" s="1"/>
  <c r="V70" i="2"/>
  <c r="V71" i="2" s="1"/>
  <c r="V72" i="2" s="1"/>
  <c r="O70" i="2"/>
  <c r="O71" i="2" s="1"/>
  <c r="O72" i="2" s="1"/>
  <c r="Q70" i="2"/>
  <c r="Q71" i="2" s="1"/>
  <c r="Q72" i="2" s="1"/>
  <c r="S70" i="2"/>
  <c r="S71" i="2" s="1"/>
  <c r="S72" i="2" s="1"/>
  <c r="K73" i="2"/>
  <c r="N21" i="2" s="1"/>
  <c r="C39" i="5"/>
  <c r="C40" i="5" s="1"/>
  <c r="E39" i="5"/>
  <c r="E40" i="5" s="1"/>
  <c r="E41" i="5" s="1"/>
  <c r="I39" i="5"/>
  <c r="I40" i="5" s="1"/>
  <c r="L39" i="5"/>
  <c r="L40" i="5" s="1"/>
  <c r="J39" i="5"/>
  <c r="J40" i="5" s="1"/>
  <c r="M39" i="5"/>
  <c r="M40" i="5" s="1"/>
  <c r="G39" i="5"/>
  <c r="G40" i="5" s="1"/>
  <c r="H39" i="5"/>
  <c r="H40" i="5" s="1"/>
  <c r="D39" i="5"/>
  <c r="D40" i="5" s="1"/>
  <c r="N39" i="5"/>
  <c r="N40" i="5" s="1"/>
  <c r="K39" i="5"/>
  <c r="K40" i="5" s="1"/>
  <c r="F39" i="5"/>
  <c r="F40" i="5" s="1"/>
  <c r="C57" i="4"/>
  <c r="F57" i="4" s="1"/>
  <c r="G55" i="4" s="1"/>
  <c r="C17" i="4"/>
  <c r="F17" i="4" s="1"/>
  <c r="C9" i="3"/>
  <c r="H9" i="3"/>
  <c r="B11" i="3"/>
  <c r="G10" i="3"/>
  <c r="B84" i="4"/>
  <c r="B99" i="4"/>
  <c r="B83" i="4"/>
  <c r="B64" i="4"/>
  <c r="C130" i="5"/>
  <c r="K24" i="3"/>
  <c r="C44" i="4"/>
  <c r="C47" i="4"/>
  <c r="C46" i="4"/>
  <c r="C45" i="4"/>
  <c r="C21" i="4"/>
  <c r="F21" i="4" s="1"/>
  <c r="N41" i="5" l="1"/>
  <c r="F41" i="5"/>
  <c r="K41" i="5"/>
  <c r="J41" i="5"/>
  <c r="G41" i="5"/>
  <c r="I41" i="5"/>
  <c r="D41" i="5"/>
  <c r="D90" i="5"/>
  <c r="H41" i="5"/>
  <c r="M41" i="5"/>
  <c r="L41" i="5"/>
  <c r="C119" i="5"/>
  <c r="C20" i="4"/>
  <c r="F20" i="4" s="1"/>
  <c r="C50" i="4"/>
  <c r="C10" i="3"/>
  <c r="H10" i="3"/>
  <c r="B12" i="3"/>
  <c r="G11" i="3"/>
  <c r="W119" i="5"/>
  <c r="E119" i="5"/>
  <c r="I119" i="5"/>
  <c r="M119" i="5"/>
  <c r="Q119" i="5"/>
  <c r="U119" i="5"/>
  <c r="Z119" i="5"/>
  <c r="F119" i="5"/>
  <c r="J119" i="5"/>
  <c r="N119" i="5"/>
  <c r="R119" i="5"/>
  <c r="V119" i="5"/>
  <c r="G119" i="5"/>
  <c r="K119" i="5"/>
  <c r="O119" i="5"/>
  <c r="S119" i="5"/>
  <c r="X119" i="5"/>
  <c r="D119" i="5"/>
  <c r="H119" i="5"/>
  <c r="L119" i="5"/>
  <c r="P119" i="5"/>
  <c r="T119" i="5"/>
  <c r="Y119" i="5"/>
  <c r="C16" i="4"/>
  <c r="F16" i="4" s="1"/>
  <c r="K13" i="3"/>
  <c r="K26" i="3"/>
  <c r="K34" i="3"/>
  <c r="K18" i="3"/>
  <c r="K8" i="3"/>
  <c r="K36" i="3"/>
  <c r="K22" i="3"/>
  <c r="K20" i="3"/>
  <c r="K9" i="3"/>
  <c r="K23" i="3"/>
  <c r="K32" i="3"/>
  <c r="K16" i="3"/>
  <c r="K31" i="3"/>
  <c r="K15" i="3"/>
  <c r="K33" i="3"/>
  <c r="K17" i="3"/>
  <c r="K35" i="3"/>
  <c r="K19" i="3"/>
  <c r="K28" i="3"/>
  <c r="K7" i="3"/>
  <c r="K27" i="3"/>
  <c r="K14" i="3"/>
  <c r="K30" i="3"/>
  <c r="D35" i="2"/>
  <c r="K15" i="2" s="1"/>
  <c r="K29" i="3"/>
  <c r="K12" i="3"/>
  <c r="K25" i="3"/>
  <c r="K11" i="3"/>
  <c r="K21" i="3"/>
  <c r="K10" i="3"/>
  <c r="C41" i="5"/>
  <c r="C15" i="4"/>
  <c r="F15" i="4" s="1"/>
  <c r="C39" i="4"/>
  <c r="F39" i="4" s="1"/>
  <c r="C19" i="4"/>
  <c r="F19" i="4" s="1"/>
  <c r="C42" i="4"/>
  <c r="F42" i="4" s="1"/>
  <c r="F45" i="4"/>
  <c r="C40" i="4"/>
  <c r="F47" i="4"/>
  <c r="C41" i="4"/>
  <c r="F41" i="4" s="1"/>
  <c r="F46" i="4"/>
  <c r="C43" i="4"/>
  <c r="F43" i="4" s="1"/>
  <c r="F44" i="4"/>
  <c r="E107" i="5" l="1"/>
  <c r="J107" i="5"/>
  <c r="D95" i="5"/>
  <c r="I107" i="5"/>
  <c r="D94" i="5"/>
  <c r="D93" i="5"/>
  <c r="H107" i="5"/>
  <c r="G107" i="5"/>
  <c r="D92" i="5"/>
  <c r="K38" i="3"/>
  <c r="B13" i="3"/>
  <c r="G12" i="3"/>
  <c r="C11" i="3"/>
  <c r="H11" i="3"/>
  <c r="C107" i="5"/>
  <c r="C109" i="5" s="1"/>
  <c r="D88" i="5"/>
  <c r="D91" i="5"/>
  <c r="F107" i="5"/>
  <c r="D96" i="5"/>
  <c r="K107" i="5"/>
  <c r="D99" i="5"/>
  <c r="N107" i="5"/>
  <c r="D98" i="5"/>
  <c r="M107" i="5"/>
  <c r="M109" i="5" s="1"/>
  <c r="D89" i="5"/>
  <c r="D107" i="5"/>
  <c r="D97" i="5"/>
  <c r="L107" i="5"/>
  <c r="L109" i="5" s="1"/>
  <c r="C38" i="4"/>
  <c r="C62" i="4" s="1"/>
  <c r="A13" i="4" s="1"/>
  <c r="C13" i="4" s="1"/>
  <c r="F13" i="4" s="1"/>
  <c r="F40" i="4"/>
  <c r="C14" i="4"/>
  <c r="F14" i="4" s="1"/>
  <c r="G109" i="5" l="1"/>
  <c r="G106" i="5" s="1"/>
  <c r="I109" i="5"/>
  <c r="I106" i="5" s="1"/>
  <c r="K109" i="5"/>
  <c r="K106" i="5" s="1"/>
  <c r="H109" i="5"/>
  <c r="H106" i="5" s="1"/>
  <c r="D109" i="5"/>
  <c r="D106" i="5" s="1"/>
  <c r="N109" i="5"/>
  <c r="N106" i="5" s="1"/>
  <c r="F109" i="5"/>
  <c r="F106" i="5" s="1"/>
  <c r="J109" i="5"/>
  <c r="J106" i="5" s="1"/>
  <c r="E109" i="5"/>
  <c r="E106" i="5" s="1"/>
  <c r="J120" i="5"/>
  <c r="H120" i="5"/>
  <c r="S120" i="5"/>
  <c r="S121" i="5" s="1"/>
  <c r="V120" i="5"/>
  <c r="V121" i="5" s="1"/>
  <c r="Y120" i="5"/>
  <c r="M120" i="5"/>
  <c r="M121" i="5" s="1"/>
  <c r="E120" i="5"/>
  <c r="K120" i="5"/>
  <c r="P120" i="5"/>
  <c r="P121" i="5" s="1"/>
  <c r="U120" i="5"/>
  <c r="U121" i="5" s="1"/>
  <c r="C120" i="5"/>
  <c r="I120" i="5"/>
  <c r="N120" i="5"/>
  <c r="N121" i="5" s="1"/>
  <c r="D120" i="5"/>
  <c r="X120" i="5"/>
  <c r="L120" i="5"/>
  <c r="F120" i="5"/>
  <c r="Q120" i="5"/>
  <c r="Q121" i="5" s="1"/>
  <c r="R120" i="5"/>
  <c r="R121" i="5" s="1"/>
  <c r="G120" i="5"/>
  <c r="W120" i="5"/>
  <c r="O120" i="5"/>
  <c r="O121" i="5" s="1"/>
  <c r="T120" i="5"/>
  <c r="T121" i="5" s="1"/>
  <c r="Z120" i="5"/>
  <c r="C106" i="5"/>
  <c r="B14" i="3"/>
  <c r="G13" i="3"/>
  <c r="C12" i="3"/>
  <c r="H12" i="3"/>
  <c r="C53" i="4"/>
  <c r="F53" i="4" s="1"/>
  <c r="C52" i="4"/>
  <c r="F52" i="4" s="1"/>
  <c r="C51" i="4"/>
  <c r="F51" i="4" s="1"/>
  <c r="F50" i="4"/>
  <c r="F62" i="4"/>
  <c r="G59" i="4" s="1"/>
  <c r="F38" i="4"/>
  <c r="G37" i="4" s="1"/>
  <c r="M106" i="5" l="1"/>
  <c r="AA13" i="5"/>
  <c r="L106" i="5"/>
  <c r="C13" i="3"/>
  <c r="H13" i="3"/>
  <c r="B15" i="3"/>
  <c r="G14" i="3"/>
  <c r="G49" i="4"/>
  <c r="O106" i="5" l="1"/>
  <c r="E44" i="5"/>
  <c r="C14" i="3"/>
  <c r="H14" i="3"/>
  <c r="B16" i="3"/>
  <c r="G15" i="3"/>
  <c r="F122" i="4" l="1"/>
  <c r="F106" i="8"/>
  <c r="B106" i="8"/>
  <c r="M61" i="5"/>
  <c r="M81" i="5" s="1"/>
  <c r="B48" i="5"/>
  <c r="C15" i="3"/>
  <c r="H15" i="3"/>
  <c r="B17" i="3"/>
  <c r="G16" i="3"/>
  <c r="F59" i="5"/>
  <c r="F79" i="5" s="1"/>
  <c r="H59" i="5"/>
  <c r="N57" i="5"/>
  <c r="N77" i="5" s="1"/>
  <c r="L57" i="5"/>
  <c r="L77" i="5" s="1"/>
  <c r="H56" i="5"/>
  <c r="H76" i="5" s="1"/>
  <c r="F56" i="5"/>
  <c r="F76" i="5" s="1"/>
  <c r="I58" i="5"/>
  <c r="I78" i="5" s="1"/>
  <c r="J58" i="5"/>
  <c r="J78" i="5" s="1"/>
  <c r="D56" i="5"/>
  <c r="D76" i="5" s="1"/>
  <c r="E59" i="5"/>
  <c r="E79" i="5" s="1"/>
  <c r="N58" i="5"/>
  <c r="N78" i="5" s="1"/>
  <c r="J59" i="5"/>
  <c r="J79" i="5" s="1"/>
  <c r="J56" i="5"/>
  <c r="J76" i="5" s="1"/>
  <c r="I57" i="5"/>
  <c r="I77" i="5" s="1"/>
  <c r="O56" i="5"/>
  <c r="O76" i="5" s="1"/>
  <c r="K56" i="5"/>
  <c r="K76" i="5" s="1"/>
  <c r="F58" i="5"/>
  <c r="F78" i="5" s="1"/>
  <c r="L56" i="5"/>
  <c r="L76" i="5" s="1"/>
  <c r="M57" i="5"/>
  <c r="M77" i="5" s="1"/>
  <c r="P58" i="5"/>
  <c r="P78" i="5" s="1"/>
  <c r="K57" i="5"/>
  <c r="K77" i="5" s="1"/>
  <c r="E57" i="5"/>
  <c r="E77" i="5" s="1"/>
  <c r="P59" i="5"/>
  <c r="P79" i="5" s="1"/>
  <c r="H57" i="5"/>
  <c r="H77" i="5" s="1"/>
  <c r="D58" i="5"/>
  <c r="D78" i="5" s="1"/>
  <c r="N59" i="5"/>
  <c r="N79" i="5" s="1"/>
  <c r="D57" i="5"/>
  <c r="D77" i="5" s="1"/>
  <c r="D59" i="5"/>
  <c r="D79" i="5" s="1"/>
  <c r="E56" i="5"/>
  <c r="E76" i="5" s="1"/>
  <c r="M56" i="5"/>
  <c r="M76" i="5" s="1"/>
  <c r="M58" i="5"/>
  <c r="M78" i="5" s="1"/>
  <c r="L59" i="5"/>
  <c r="L79" i="5" s="1"/>
  <c r="G56" i="5"/>
  <c r="G76" i="5" s="1"/>
  <c r="I56" i="5"/>
  <c r="I76" i="5" s="1"/>
  <c r="O58" i="5"/>
  <c r="O78" i="5" s="1"/>
  <c r="H58" i="5"/>
  <c r="H78" i="5" s="1"/>
  <c r="P56" i="5"/>
  <c r="P76" i="5" s="1"/>
  <c r="F57" i="5"/>
  <c r="F77" i="5" s="1"/>
  <c r="O59" i="5"/>
  <c r="O79" i="5" s="1"/>
  <c r="I59" i="5"/>
  <c r="I79" i="5" s="1"/>
  <c r="B122" i="4"/>
  <c r="J57" i="5"/>
  <c r="J77" i="5" s="1"/>
  <c r="G57" i="5"/>
  <c r="G77" i="5" s="1"/>
  <c r="E58" i="5"/>
  <c r="E78" i="5" s="1"/>
  <c r="O57" i="5"/>
  <c r="O77" i="5" s="1"/>
  <c r="G58" i="5"/>
  <c r="G78" i="5" s="1"/>
  <c r="N56" i="5"/>
  <c r="N76" i="5" s="1"/>
  <c r="K58" i="5"/>
  <c r="K78" i="5" s="1"/>
  <c r="K59" i="5"/>
  <c r="K79" i="5" s="1"/>
  <c r="P57" i="5"/>
  <c r="P77" i="5" s="1"/>
  <c r="G59" i="5"/>
  <c r="M59" i="5"/>
  <c r="M79" i="5" s="1"/>
  <c r="L58" i="5"/>
  <c r="L78" i="5" s="1"/>
  <c r="F60" i="5"/>
  <c r="F80" i="5" s="1"/>
  <c r="E60" i="5"/>
  <c r="E80" i="5" s="1"/>
  <c r="M63" i="5"/>
  <c r="M83" i="5" s="1"/>
  <c r="H55" i="5"/>
  <c r="H75" i="5" s="1"/>
  <c r="H62" i="5"/>
  <c r="I62" i="5"/>
  <c r="N53" i="5"/>
  <c r="N73" i="5" s="1"/>
  <c r="D61" i="5"/>
  <c r="D81" i="5" s="1"/>
  <c r="N61" i="5"/>
  <c r="N81" i="5" s="1"/>
  <c r="O60" i="5"/>
  <c r="O80" i="5" s="1"/>
  <c r="J61" i="5"/>
  <c r="J81" i="5" s="1"/>
  <c r="P53" i="5"/>
  <c r="P73" i="5" s="1"/>
  <c r="P55" i="5"/>
  <c r="P75" i="5" s="1"/>
  <c r="J52" i="5"/>
  <c r="J72" i="5" s="1"/>
  <c r="I52" i="5"/>
  <c r="O55" i="5"/>
  <c r="O75" i="5" s="1"/>
  <c r="J53" i="5"/>
  <c r="J73" i="5" s="1"/>
  <c r="J54" i="5"/>
  <c r="J74" i="5" s="1"/>
  <c r="L61" i="5"/>
  <c r="L81" i="5" s="1"/>
  <c r="M54" i="5"/>
  <c r="M74" i="5" s="1"/>
  <c r="E63" i="5"/>
  <c r="E83" i="5" s="1"/>
  <c r="K61" i="5"/>
  <c r="K81" i="5" s="1"/>
  <c r="L62" i="5"/>
  <c r="H60" i="5"/>
  <c r="H80" i="5" s="1"/>
  <c r="E62" i="5"/>
  <c r="H61" i="5"/>
  <c r="H81" i="5" s="1"/>
  <c r="G54" i="5"/>
  <c r="G74" i="5" s="1"/>
  <c r="F61" i="5"/>
  <c r="F81" i="5" s="1"/>
  <c r="M62" i="5"/>
  <c r="L55" i="5"/>
  <c r="L75" i="5" s="1"/>
  <c r="C56" i="5"/>
  <c r="C76" i="5" s="1"/>
  <c r="E52" i="5"/>
  <c r="E72" i="5" s="1"/>
  <c r="C62" i="5"/>
  <c r="N52" i="5"/>
  <c r="N72" i="5" s="1"/>
  <c r="P52" i="5"/>
  <c r="P72" i="5" s="1"/>
  <c r="F52" i="5"/>
  <c r="O52" i="5"/>
  <c r="K54" i="5"/>
  <c r="K74" i="5" s="1"/>
  <c r="G53" i="5"/>
  <c r="G73" i="5" s="1"/>
  <c r="K55" i="5"/>
  <c r="K75" i="5" s="1"/>
  <c r="F62" i="5"/>
  <c r="I53" i="5"/>
  <c r="I73" i="5" s="1"/>
  <c r="C57" i="5"/>
  <c r="C77" i="5" s="1"/>
  <c r="L52" i="5"/>
  <c r="L54" i="5"/>
  <c r="L74" i="5" s="1"/>
  <c r="D62" i="5"/>
  <c r="N62" i="5"/>
  <c r="J62" i="5"/>
  <c r="E55" i="5"/>
  <c r="E75" i="5" s="1"/>
  <c r="H54" i="5"/>
  <c r="H74" i="5" s="1"/>
  <c r="M55" i="5"/>
  <c r="M75" i="5" s="1"/>
  <c r="F63" i="5"/>
  <c r="F83" i="5" s="1"/>
  <c r="M60" i="5"/>
  <c r="M80" i="5" s="1"/>
  <c r="O61" i="5"/>
  <c r="O81" i="5" s="1"/>
  <c r="P54" i="5"/>
  <c r="P74" i="5" s="1"/>
  <c r="D52" i="5"/>
  <c r="C53" i="5"/>
  <c r="C63" i="5"/>
  <c r="C83" i="5" s="1"/>
  <c r="G60" i="5"/>
  <c r="G80" i="5" s="1"/>
  <c r="D63" i="5"/>
  <c r="D83" i="5" s="1"/>
  <c r="H53" i="5"/>
  <c r="H73" i="5" s="1"/>
  <c r="L60" i="5"/>
  <c r="L80" i="5" s="1"/>
  <c r="F53" i="5"/>
  <c r="F73" i="5" s="1"/>
  <c r="N55" i="5"/>
  <c r="N75" i="5" s="1"/>
  <c r="J55" i="5"/>
  <c r="J75" i="5" s="1"/>
  <c r="K60" i="5"/>
  <c r="K80" i="5" s="1"/>
  <c r="H63" i="5"/>
  <c r="H83" i="5" s="1"/>
  <c r="O62" i="5"/>
  <c r="E61" i="5"/>
  <c r="E81" i="5" s="1"/>
  <c r="L53" i="5"/>
  <c r="L73" i="5" s="1"/>
  <c r="O53" i="5"/>
  <c r="O73" i="5" s="1"/>
  <c r="O63" i="5"/>
  <c r="O83" i="5" s="1"/>
  <c r="D55" i="5"/>
  <c r="D75" i="5" s="1"/>
  <c r="M52" i="5"/>
  <c r="C55" i="5"/>
  <c r="C75" i="5" s="1"/>
  <c r="C59" i="5"/>
  <c r="C79" i="5" s="1"/>
  <c r="P63" i="5"/>
  <c r="P83" i="5" s="1"/>
  <c r="I54" i="5"/>
  <c r="I74" i="5" s="1"/>
  <c r="G62" i="5"/>
  <c r="K63" i="5"/>
  <c r="K83" i="5" s="1"/>
  <c r="N54" i="5"/>
  <c r="N74" i="5" s="1"/>
  <c r="E53" i="5"/>
  <c r="E73" i="5" s="1"/>
  <c r="O54" i="5"/>
  <c r="O74" i="5" s="1"/>
  <c r="D53" i="5"/>
  <c r="D73" i="5" s="1"/>
  <c r="F55" i="5"/>
  <c r="F75" i="5" s="1"/>
  <c r="J63" i="5"/>
  <c r="J83" i="5" s="1"/>
  <c r="K62" i="5"/>
  <c r="G55" i="5"/>
  <c r="G75" i="5" s="1"/>
  <c r="D60" i="5"/>
  <c r="D80" i="5" s="1"/>
  <c r="N63" i="5"/>
  <c r="N83" i="5" s="1"/>
  <c r="G63" i="5"/>
  <c r="G83" i="5" s="1"/>
  <c r="G52" i="5"/>
  <c r="K52" i="5"/>
  <c r="C60" i="5"/>
  <c r="C80" i="5" s="1"/>
  <c r="C61" i="5"/>
  <c r="C58" i="5"/>
  <c r="C78" i="5" s="1"/>
  <c r="C54" i="5"/>
  <c r="H52" i="5"/>
  <c r="I55" i="5"/>
  <c r="I75" i="5" s="1"/>
  <c r="G61" i="5"/>
  <c r="G81" i="5" s="1"/>
  <c r="M53" i="5"/>
  <c r="M73" i="5" s="1"/>
  <c r="D54" i="5"/>
  <c r="D74" i="5" s="1"/>
  <c r="I63" i="5"/>
  <c r="I83" i="5" s="1"/>
  <c r="P62" i="5"/>
  <c r="N60" i="5"/>
  <c r="N80" i="5" s="1"/>
  <c r="J60" i="5"/>
  <c r="J80" i="5" s="1"/>
  <c r="K53" i="5"/>
  <c r="K73" i="5" s="1"/>
  <c r="P61" i="5"/>
  <c r="P81" i="5" s="1"/>
  <c r="P60" i="5"/>
  <c r="P80" i="5" s="1"/>
  <c r="I60" i="5"/>
  <c r="I80" i="5" s="1"/>
  <c r="L63" i="5"/>
  <c r="L83" i="5" s="1"/>
  <c r="E54" i="5"/>
  <c r="E74" i="5" s="1"/>
  <c r="I61" i="5"/>
  <c r="I81" i="5" s="1"/>
  <c r="C52" i="5"/>
  <c r="F54" i="5"/>
  <c r="F74" i="5" s="1"/>
  <c r="D118" i="5" l="1"/>
  <c r="D121" i="5" s="1"/>
  <c r="C118" i="5"/>
  <c r="C121" i="5" s="1"/>
  <c r="D82" i="5"/>
  <c r="X118" i="5"/>
  <c r="X121" i="5" s="1"/>
  <c r="N82" i="5"/>
  <c r="J118" i="5"/>
  <c r="J121" i="5" s="1"/>
  <c r="P82" i="5"/>
  <c r="L118" i="5"/>
  <c r="L121" i="5" s="1"/>
  <c r="O82" i="5"/>
  <c r="K118" i="5"/>
  <c r="K121" i="5" s="1"/>
  <c r="F82" i="5"/>
  <c r="Z118" i="5"/>
  <c r="Z121" i="5" s="1"/>
  <c r="C82" i="5"/>
  <c r="W118" i="5"/>
  <c r="W121" i="5" s="1"/>
  <c r="M82" i="5"/>
  <c r="I118" i="5"/>
  <c r="I121" i="5" s="1"/>
  <c r="E82" i="5"/>
  <c r="Y118" i="5"/>
  <c r="Y121" i="5" s="1"/>
  <c r="L82" i="5"/>
  <c r="H118" i="5"/>
  <c r="H121" i="5" s="1"/>
  <c r="K82" i="5"/>
  <c r="G118" i="5"/>
  <c r="G121" i="5" s="1"/>
  <c r="J82" i="5"/>
  <c r="F118" i="5"/>
  <c r="F121" i="5" s="1"/>
  <c r="I82" i="5"/>
  <c r="E118" i="5"/>
  <c r="E121" i="5" s="1"/>
  <c r="H82" i="5"/>
  <c r="G82" i="5"/>
  <c r="H79" i="5"/>
  <c r="I72" i="5"/>
  <c r="G79" i="5"/>
  <c r="C94" i="5"/>
  <c r="E94" i="5" s="1"/>
  <c r="F94" i="5" s="1"/>
  <c r="C92" i="5"/>
  <c r="E92" i="5" s="1"/>
  <c r="F92" i="5" s="1"/>
  <c r="C93" i="5"/>
  <c r="E93" i="5" s="1"/>
  <c r="F93" i="5" s="1"/>
  <c r="H16" i="3"/>
  <c r="C16" i="3"/>
  <c r="B18" i="3"/>
  <c r="G17" i="3"/>
  <c r="G72" i="5"/>
  <c r="M72" i="5"/>
  <c r="C91" i="5"/>
  <c r="E91" i="5" s="1"/>
  <c r="F91" i="5" s="1"/>
  <c r="G105" i="5"/>
  <c r="G108" i="5" s="1"/>
  <c r="G110" i="5" s="1"/>
  <c r="G112" i="5" s="1"/>
  <c r="D72" i="5"/>
  <c r="C105" i="5"/>
  <c r="C108" i="5" s="1"/>
  <c r="C110" i="5" s="1"/>
  <c r="F72" i="5"/>
  <c r="H105" i="5"/>
  <c r="H108" i="5" s="1"/>
  <c r="H110" i="5" s="1"/>
  <c r="H112" i="5" s="1"/>
  <c r="J105" i="5"/>
  <c r="J108" i="5" s="1"/>
  <c r="J110" i="5" s="1"/>
  <c r="J112" i="5" s="1"/>
  <c r="C99" i="5"/>
  <c r="E99" i="5" s="1"/>
  <c r="F99" i="5" s="1"/>
  <c r="C74" i="5"/>
  <c r="C90" i="5" s="1"/>
  <c r="E105" i="5"/>
  <c r="E108" i="5" s="1"/>
  <c r="E110" i="5" s="1"/>
  <c r="E112" i="5" s="1"/>
  <c r="K105" i="5"/>
  <c r="K108" i="5" s="1"/>
  <c r="K110" i="5" s="1"/>
  <c r="K112" i="5" s="1"/>
  <c r="O72" i="5"/>
  <c r="L72" i="5"/>
  <c r="N105" i="5"/>
  <c r="N108" i="5" s="1"/>
  <c r="N110" i="5" s="1"/>
  <c r="N112" i="5" s="1"/>
  <c r="C72" i="5"/>
  <c r="F105" i="5"/>
  <c r="F108" i="5" s="1"/>
  <c r="F110" i="5" s="1"/>
  <c r="F112" i="5" s="1"/>
  <c r="H72" i="5"/>
  <c r="I105" i="5"/>
  <c r="I108" i="5" s="1"/>
  <c r="I110" i="5" s="1"/>
  <c r="I112" i="5" s="1"/>
  <c r="C96" i="5"/>
  <c r="E96" i="5" s="1"/>
  <c r="F96" i="5" s="1"/>
  <c r="C73" i="5"/>
  <c r="C89" i="5" s="1"/>
  <c r="E89" i="5" s="1"/>
  <c r="F89" i="5" s="1"/>
  <c r="D105" i="5"/>
  <c r="D108" i="5" s="1"/>
  <c r="D110" i="5" s="1"/>
  <c r="D112" i="5" s="1"/>
  <c r="M105" i="5"/>
  <c r="M108" i="5" s="1"/>
  <c r="M110" i="5" s="1"/>
  <c r="M112" i="5" s="1"/>
  <c r="K72" i="5"/>
  <c r="L105" i="5"/>
  <c r="C81" i="5"/>
  <c r="C97" i="5" s="1"/>
  <c r="E97" i="5" s="1"/>
  <c r="F97" i="5" s="1"/>
  <c r="C98" i="5" l="1"/>
  <c r="E98" i="5" s="1"/>
  <c r="F98" i="5" s="1"/>
  <c r="C95" i="5"/>
  <c r="E90" i="5"/>
  <c r="F90" i="5" s="1"/>
  <c r="L108" i="5"/>
  <c r="L110" i="5" s="1"/>
  <c r="L112" i="5" s="1"/>
  <c r="C17" i="3"/>
  <c r="H17" i="3"/>
  <c r="B19" i="3"/>
  <c r="G18" i="3"/>
  <c r="C112" i="5"/>
  <c r="C88" i="5"/>
  <c r="E88" i="5" s="1"/>
  <c r="F88" i="5" s="1"/>
  <c r="O105" i="5"/>
  <c r="E95" i="5" l="1"/>
  <c r="F95" i="5" s="1"/>
  <c r="K92" i="5"/>
  <c r="C18" i="3"/>
  <c r="H18" i="3"/>
  <c r="B20" i="3"/>
  <c r="G19" i="3"/>
  <c r="F123" i="4" l="1"/>
  <c r="G121" i="4" s="1"/>
  <c r="B107" i="8"/>
  <c r="F107" i="8"/>
  <c r="G105" i="8" s="1"/>
  <c r="L95" i="5"/>
  <c r="C111" i="5"/>
  <c r="C113" i="5" s="1"/>
  <c r="G111" i="5"/>
  <c r="G113" i="5" s="1"/>
  <c r="F111" i="5"/>
  <c r="F113" i="5" s="1"/>
  <c r="I111" i="5"/>
  <c r="I113" i="5" s="1"/>
  <c r="N111" i="5"/>
  <c r="N113" i="5" s="1"/>
  <c r="J111" i="5"/>
  <c r="J113" i="5" s="1"/>
  <c r="L111" i="5"/>
  <c r="L113" i="5" s="1"/>
  <c r="E111" i="5"/>
  <c r="E113" i="5" s="1"/>
  <c r="H111" i="5"/>
  <c r="H113" i="5" s="1"/>
  <c r="K111" i="5"/>
  <c r="K113" i="5" s="1"/>
  <c r="D111" i="5"/>
  <c r="D113" i="5" s="1"/>
  <c r="M111" i="5"/>
  <c r="M113" i="5" s="1"/>
  <c r="B123" i="4"/>
  <c r="C19" i="3"/>
  <c r="H19" i="3"/>
  <c r="B21" i="3"/>
  <c r="G20" i="3"/>
  <c r="C122" i="5" l="1"/>
  <c r="C123" i="5" s="1"/>
  <c r="C20" i="3"/>
  <c r="H20" i="3"/>
  <c r="B22" i="3"/>
  <c r="G21" i="3"/>
  <c r="D122" i="5" l="1"/>
  <c r="D123" i="5" s="1"/>
  <c r="C21" i="3"/>
  <c r="H21" i="3"/>
  <c r="B23" i="3"/>
  <c r="G22" i="3"/>
  <c r="E122" i="5" l="1"/>
  <c r="F122" i="5" s="1"/>
  <c r="G122" i="5" s="1"/>
  <c r="C22" i="3"/>
  <c r="H22" i="3"/>
  <c r="B24" i="3"/>
  <c r="G23" i="3"/>
  <c r="E123" i="5" l="1"/>
  <c r="C23" i="3"/>
  <c r="H23" i="3"/>
  <c r="B25" i="3"/>
  <c r="G24" i="3"/>
  <c r="G123" i="5"/>
  <c r="F123" i="5"/>
  <c r="C24" i="3" l="1"/>
  <c r="H24" i="3"/>
  <c r="B26" i="3"/>
  <c r="G25" i="3"/>
  <c r="H122" i="5"/>
  <c r="C25" i="3" l="1"/>
  <c r="H25" i="3"/>
  <c r="B27" i="3"/>
  <c r="G26" i="3"/>
  <c r="I122" i="5"/>
  <c r="H123" i="5"/>
  <c r="C26" i="3" l="1"/>
  <c r="H26" i="3"/>
  <c r="B28" i="3"/>
  <c r="G27" i="3"/>
  <c r="J122" i="5"/>
  <c r="I123" i="5"/>
  <c r="C27" i="3" l="1"/>
  <c r="H27" i="3"/>
  <c r="B29" i="3"/>
  <c r="G28" i="3"/>
  <c r="K122" i="5"/>
  <c r="J123" i="5"/>
  <c r="C28" i="3" l="1"/>
  <c r="H28" i="3"/>
  <c r="B30" i="3"/>
  <c r="G29" i="3"/>
  <c r="L122" i="5"/>
  <c r="K123" i="5"/>
  <c r="C29" i="3" l="1"/>
  <c r="H29" i="3"/>
  <c r="B31" i="3"/>
  <c r="G30" i="3"/>
  <c r="M122" i="5"/>
  <c r="L123" i="5"/>
  <c r="C30" i="3" l="1"/>
  <c r="H30" i="3"/>
  <c r="B32" i="3"/>
  <c r="G31" i="3"/>
  <c r="N122" i="5"/>
  <c r="M123" i="5"/>
  <c r="C31" i="3" l="1"/>
  <c r="H31" i="3"/>
  <c r="B33" i="3"/>
  <c r="G32" i="3"/>
  <c r="O122" i="5"/>
  <c r="N123" i="5"/>
  <c r="C32" i="3" l="1"/>
  <c r="H32" i="3"/>
  <c r="B34" i="3"/>
  <c r="G33" i="3"/>
  <c r="P122" i="5"/>
  <c r="O123" i="5"/>
  <c r="C33" i="3" l="1"/>
  <c r="H33" i="3"/>
  <c r="B35" i="3"/>
  <c r="G34" i="3"/>
  <c r="Q122" i="5"/>
  <c r="P123" i="5"/>
  <c r="C34" i="3" l="1"/>
  <c r="H34" i="3"/>
  <c r="B36" i="3"/>
  <c r="G36" i="3" s="1"/>
  <c r="G35" i="3"/>
  <c r="R122" i="5"/>
  <c r="Q123" i="5"/>
  <c r="G38" i="3" l="1"/>
  <c r="C35" i="3"/>
  <c r="H35" i="3"/>
  <c r="C36" i="3"/>
  <c r="H36" i="3"/>
  <c r="S122" i="5"/>
  <c r="R123" i="5"/>
  <c r="H38" i="3" l="1"/>
  <c r="T122" i="5"/>
  <c r="S123" i="5"/>
  <c r="U122" i="5" l="1"/>
  <c r="T123" i="5"/>
  <c r="V122" i="5" l="1"/>
  <c r="U123" i="5"/>
  <c r="W122" i="5" l="1"/>
  <c r="V123" i="5"/>
  <c r="X122" i="5" l="1"/>
  <c r="W123" i="5"/>
  <c r="Y122" i="5" l="1"/>
  <c r="X123" i="5"/>
  <c r="Z122" i="5" l="1"/>
  <c r="Y123" i="5"/>
  <c r="H129" i="5" l="1"/>
  <c r="C124" i="5"/>
  <c r="Z123" i="5"/>
  <c r="D124" i="5" l="1"/>
  <c r="C125" i="5"/>
  <c r="E124" i="5" l="1"/>
  <c r="D125" i="5"/>
  <c r="D126" i="5" s="1"/>
  <c r="F124" i="5" l="1"/>
  <c r="E125" i="5"/>
  <c r="E126" i="5" s="1"/>
  <c r="G124" i="5" l="1"/>
  <c r="F125" i="5"/>
  <c r="F126" i="5" s="1"/>
  <c r="H124" i="5" l="1"/>
  <c r="G125" i="5"/>
  <c r="G126" i="5" s="1"/>
  <c r="I124" i="5" l="1"/>
  <c r="H125" i="5"/>
  <c r="H126" i="5" s="1"/>
  <c r="J124" i="5" l="1"/>
  <c r="I125" i="5"/>
  <c r="I126" i="5" s="1"/>
  <c r="K124" i="5" l="1"/>
  <c r="J125" i="5"/>
  <c r="J126" i="5" s="1"/>
  <c r="L124" i="5" l="1"/>
  <c r="K125" i="5"/>
  <c r="K126" i="5" s="1"/>
  <c r="M124" i="5" l="1"/>
  <c r="L125" i="5"/>
  <c r="L126" i="5" s="1"/>
  <c r="N124" i="5" l="1"/>
  <c r="M125" i="5"/>
  <c r="M126" i="5" s="1"/>
  <c r="O124" i="5" l="1"/>
  <c r="N125" i="5"/>
  <c r="N126" i="5" s="1"/>
  <c r="P124" i="5" l="1"/>
  <c r="O125" i="5"/>
  <c r="O126" i="5" s="1"/>
  <c r="Q124" i="5" l="1"/>
  <c r="P125" i="5"/>
  <c r="P126" i="5" s="1"/>
  <c r="R124" i="5" l="1"/>
  <c r="Q125" i="5"/>
  <c r="Q126" i="5" s="1"/>
  <c r="S124" i="5" l="1"/>
  <c r="R125" i="5"/>
  <c r="R126" i="5" s="1"/>
  <c r="T124" i="5" l="1"/>
  <c r="S125" i="5"/>
  <c r="S126" i="5" s="1"/>
  <c r="U124" i="5" l="1"/>
  <c r="T125" i="5"/>
  <c r="T126" i="5" s="1"/>
  <c r="V124" i="5" l="1"/>
  <c r="U125" i="5"/>
  <c r="U126" i="5" s="1"/>
  <c r="W124" i="5" l="1"/>
  <c r="V125" i="5"/>
  <c r="V126" i="5" s="1"/>
  <c r="X124" i="5" l="1"/>
  <c r="W125" i="5"/>
  <c r="W126" i="5" s="1"/>
  <c r="Y124" i="5" l="1"/>
  <c r="X125" i="5"/>
  <c r="X126" i="5" s="1"/>
  <c r="Z124" i="5" l="1"/>
  <c r="Y125" i="5"/>
  <c r="Y126" i="5" s="1"/>
  <c r="Z125" i="5" l="1"/>
  <c r="C126" i="5" s="1"/>
  <c r="Z126" i="5" l="1"/>
  <c r="AA126" i="5"/>
  <c r="C30" i="4"/>
  <c r="F30" i="4" s="1"/>
  <c r="C29" i="4"/>
  <c r="F29" i="4" s="1"/>
  <c r="C28" i="4" l="1"/>
  <c r="F28" i="4" s="1"/>
  <c r="G11" i="4" s="1"/>
  <c r="F100" i="4" l="1"/>
  <c r="G98" i="4" s="1"/>
  <c r="G116" i="4" s="1"/>
  <c r="G111" i="4" l="1"/>
  <c r="F116" i="4"/>
  <c r="G112" i="4" l="1"/>
  <c r="G1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D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Dejar en blanco si los derechos de agua no se expresan en esta unidad</t>
        </r>
      </text>
    </comment>
    <comment ref="D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Información se refleja en presupuesto</t>
        </r>
      </text>
    </comment>
    <comment ref="G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Metros que contiene un rollo de línea de riego. Información relevante para la cubicación</t>
        </r>
      </text>
    </comment>
    <comment ref="D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a iterar. A partir de este valor se evaluan los criterios de diseño</t>
        </r>
      </text>
    </comment>
    <comment ref="D3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Superficie a tecnificar</t>
        </r>
      </text>
    </comment>
    <comment ref="D37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Corresponde al largo total de la hilera de plantación (considerar el valor máximo).</t>
        </r>
      </text>
    </comment>
    <comment ref="D3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corresponde al largo que tendría el trazado de la submatriz si se instalara en uno de los extremos de la hilera</t>
        </r>
      </text>
    </comment>
    <comment ref="D3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Trazado probable de la tubería matriz (desde centro de control al trazado de submatriz)</t>
        </r>
      </text>
    </comment>
    <comment ref="D4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Máxima diferencia de cota del terreno</t>
        </r>
      </text>
    </comment>
    <comment ref="D4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considera el largo máximo de laterales de riego</t>
        </r>
      </text>
    </comment>
    <comment ref="D4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considera el total de submatrices</t>
        </r>
      </text>
    </comment>
    <comment ref="D4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Como criterio, se considera que el largo máximo de laterales en riego por goteo es de 80 m y de 50 m en riego por cinta (polietileno 16 mm). Así, por válvula, el largo máximo de hileras será de 160 m y 100 m respectivamente (considerando lineas a ambos lados de la submatriz)</t>
        </r>
      </text>
    </comment>
    <comment ref="K5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De acuerdo al caudal, se indica si es factible utilizar la planilla de cálculo</t>
        </r>
      </text>
    </comment>
    <comment ref="D55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 estima a partir de: Presión de operación del emisor + 15% de perdidas de carga en laterales + 15% de perdidas de carga en submatrices + 3 m.c.a de perdidas de carga en succion y descarga + 5 m.c.a. de perdidas de carga en filtros + las pérdidas de carga en la matriz, las cuales se estiman como el 2% del largo de la matríz + la diferencia de cota existente</t>
        </r>
      </text>
    </comment>
    <comment ref="D57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 recomienda seleccionar la bomba de acuerdo al punto de trabajo indicado y corregir potencia de la bomba estimada (BHP)</t>
        </r>
      </text>
    </comment>
    <comment ref="D61" authorId="0" shapeId="0" xr:uid="{00000000-0006-0000-0100-000010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caudal por tramo</t>
        </r>
      </text>
    </comment>
    <comment ref="D62" authorId="0" shapeId="0" xr:uid="{00000000-0006-0000-0100-000011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cortes</t>
        </r>
      </text>
    </comment>
    <comment ref="D6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largo laterales</t>
        </r>
      </text>
    </comment>
    <comment ref="D6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para cinta con corte en centro</t>
        </r>
      </text>
    </comment>
    <comment ref="E6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para riego con corte en centro</t>
        </r>
      </text>
    </comment>
    <comment ref="K73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volumen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Dejar en blanco si los derechos de agua no se expresan en esta unidad</t>
        </r>
      </text>
    </comment>
    <comment ref="D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Información se refleja en presupuesto</t>
        </r>
      </text>
    </comment>
    <comment ref="D2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a iterar. El valor se relaciona con la capacidad de almacenamiento del suelo</t>
        </r>
      </text>
    </comment>
    <comment ref="D30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Valor a iterar</t>
        </r>
      </text>
    </comment>
    <comment ref="D37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Reemplaza al valor teórico, de acuerdo a las particularidades de cada terreno</t>
        </r>
      </text>
    </comment>
    <comment ref="D45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Corresponde al largo máximo de la lateral</t>
        </r>
      </text>
    </comment>
    <comment ref="D4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Largo de la submatríz (si el el diseño considera)</t>
        </r>
      </text>
    </comment>
    <comment ref="D47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Largo desde centro de control hasta el hidrante y/o lateral</t>
        </r>
      </text>
    </comment>
    <comment ref="D48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Máxima diferencia de cota del terreno</t>
        </r>
      </text>
    </comment>
    <comment ref="D5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Número de hidrantes propuesto</t>
        </r>
      </text>
    </comment>
    <comment ref="D54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Laterales/postura
</t>
        </r>
      </text>
    </comment>
    <comment ref="I59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De acuerdo al caudal, se indica si es factible utilizar la planilla de cálculo</t>
        </r>
      </text>
    </comment>
    <comment ref="D60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 estima a partir de: Presión de operación del emisor + 20% de perdidas de carga en laterales + 3 m.c.a de perdidas de carga en succion y descarga + 5 m.c.a. de perdidas de carga en filtros + las pérdidas de carga en la matriz y submatrices, las cuales se estiman como el 2% del + la diferencia de cota existente</t>
        </r>
      </text>
    </comment>
    <comment ref="D62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Se recomienda seleccionar la bomba de acuerdo al punto de trabajo indicado y corregir potencia de la bomba estimada (BHP)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B5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Completar con tabla de resultados del análisis básico realizado en explorador solar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H106" authorId="0" shapeId="0" xr:uid="{00000000-0006-0000-0600-000001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valor del kw instalado</t>
        </r>
      </text>
    </comment>
    <comment ref="H107" authorId="0" shapeId="0" xr:uid="{00000000-0006-0000-0600-000002000000}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valor de 1 batería</t>
        </r>
      </text>
    </comment>
  </commentList>
</comments>
</file>

<file path=xl/sharedStrings.xml><?xml version="1.0" encoding="utf-8"?>
<sst xmlns="http://schemas.openxmlformats.org/spreadsheetml/2006/main" count="739" uniqueCount="283">
  <si>
    <t>DISEÑO AGRONOMICO DEL SISTEMA</t>
  </si>
  <si>
    <t>:</t>
  </si>
  <si>
    <t>Distancia entre hileras</t>
  </si>
  <si>
    <t>m</t>
  </si>
  <si>
    <t>Distancia sobre hileras</t>
  </si>
  <si>
    <t>Superficie</t>
  </si>
  <si>
    <t>ha</t>
  </si>
  <si>
    <t>Nº de plantas / há</t>
  </si>
  <si>
    <t>Nº total plantas</t>
  </si>
  <si>
    <t>Demanda  hídrica bruta</t>
  </si>
  <si>
    <t>mm/día</t>
  </si>
  <si>
    <t>Demanda  hídrica neta</t>
  </si>
  <si>
    <t xml:space="preserve">Eficiencia del sistema </t>
  </si>
  <si>
    <t>%</t>
  </si>
  <si>
    <t>Número de sectores</t>
  </si>
  <si>
    <t>Modelo emisor</t>
  </si>
  <si>
    <t xml:space="preserve">Presión de operación </t>
  </si>
  <si>
    <t>m.c.a.</t>
  </si>
  <si>
    <t>Caudal emisor</t>
  </si>
  <si>
    <t>l/h</t>
  </si>
  <si>
    <t>N° laterales / hilera</t>
  </si>
  <si>
    <t>N°de emisores / planta</t>
  </si>
  <si>
    <t xml:space="preserve">Distancia entre emisores </t>
  </si>
  <si>
    <t>N° emisores / hectárea</t>
  </si>
  <si>
    <t xml:space="preserve">Caudal por hectárea </t>
  </si>
  <si>
    <t>l/s</t>
  </si>
  <si>
    <t>Precipitación equipo</t>
  </si>
  <si>
    <t>mm/h</t>
  </si>
  <si>
    <t>Tiempo de riego / sector</t>
  </si>
  <si>
    <t>h</t>
  </si>
  <si>
    <t xml:space="preserve">Tiempo total de riego </t>
  </si>
  <si>
    <t>Superficie aproximado por sector</t>
  </si>
  <si>
    <t>Caudal aproximado por sector</t>
  </si>
  <si>
    <t>Polietileno</t>
  </si>
  <si>
    <t>Emisores</t>
  </si>
  <si>
    <t>CDT estimado</t>
  </si>
  <si>
    <t>Motor seleccionado</t>
  </si>
  <si>
    <t>CUADRO DE SECTORES</t>
  </si>
  <si>
    <t>Sector</t>
  </si>
  <si>
    <t>Especie/Variedad</t>
  </si>
  <si>
    <t>Dist de</t>
  </si>
  <si>
    <t xml:space="preserve">Número </t>
  </si>
  <si>
    <t>Zonas</t>
  </si>
  <si>
    <t>Caudal</t>
  </si>
  <si>
    <t>Tiempo</t>
  </si>
  <si>
    <t>Plant (m)</t>
  </si>
  <si>
    <t>(ha)</t>
  </si>
  <si>
    <t>Plantas</t>
  </si>
  <si>
    <t>nº</t>
  </si>
  <si>
    <t>(L/s)</t>
  </si>
  <si>
    <t>riego (h)</t>
  </si>
  <si>
    <t>x</t>
  </si>
  <si>
    <t>Total</t>
  </si>
  <si>
    <t xml:space="preserve"> </t>
  </si>
  <si>
    <t>Conduit Ø16 mm c-IV</t>
  </si>
  <si>
    <t>Conduit Ø20 mm. c-IV</t>
  </si>
  <si>
    <t>Conduit Ø25 mm. c-IV</t>
  </si>
  <si>
    <t>PVC Hidráulico Ø110 mm  c-6</t>
  </si>
  <si>
    <t>PVC Hidráulico Ø125 mm  c-6</t>
  </si>
  <si>
    <t>PVC Hidráulico Ø32 mm c-10</t>
  </si>
  <si>
    <t>PVC Hidráulico Ø40 mm c-6</t>
  </si>
  <si>
    <t>PVC Hidráulico Ø50 mm  c-6</t>
  </si>
  <si>
    <t>PVC Hidráulico Ø63 mm  c-6</t>
  </si>
  <si>
    <t>PVC Hidráulico Ø75 mm  c-6</t>
  </si>
  <si>
    <t>PVC Hidráulico Ø90 mm  c-6</t>
  </si>
  <si>
    <t>Válvula Antivacío 1/2" Bermad</t>
  </si>
  <si>
    <t>Válvula compuerta br. 2"</t>
  </si>
  <si>
    <t xml:space="preserve">Caja eléctrica derivación 10 x 10 cm </t>
  </si>
  <si>
    <t>VARIOS</t>
  </si>
  <si>
    <t>Colas de lavado submatrices (incluye fitting y válvula Ø32 mm. )</t>
  </si>
  <si>
    <t>Manómetro con adaptador Schrader para chequeo</t>
  </si>
  <si>
    <t>Válvula schrader Br. 1/4" NPT</t>
  </si>
  <si>
    <t>Copla PE 16 mm.</t>
  </si>
  <si>
    <t>Terminal de línea PE 16 mm.</t>
  </si>
  <si>
    <t>FILTROS</t>
  </si>
  <si>
    <t>PRESUPUESTO PROYECTO</t>
  </si>
  <si>
    <t>ITEM</t>
  </si>
  <si>
    <t>CANTIDAD</t>
  </si>
  <si>
    <t>VALOR UNITARIO</t>
  </si>
  <si>
    <t>VALOR PARCIAL</t>
  </si>
  <si>
    <t>SUB TOTAL</t>
  </si>
  <si>
    <t>VALOR LISTA</t>
  </si>
  <si>
    <t>DESC %</t>
  </si>
  <si>
    <t>RED HIDRAULICA</t>
  </si>
  <si>
    <t>TUBERIA PVC HID. Y CONDUIT</t>
  </si>
  <si>
    <t>u</t>
  </si>
  <si>
    <t>EMISORES</t>
  </si>
  <si>
    <t>VALVULAS</t>
  </si>
  <si>
    <t xml:space="preserve">Válvula Aire 1"  combinada </t>
  </si>
  <si>
    <t>Válvula compuerta br. 2 1/2"</t>
  </si>
  <si>
    <t>Válvula compuerta br. 1 1/2"</t>
  </si>
  <si>
    <t>SALIDAS DE LINEA</t>
  </si>
  <si>
    <t>Chicote Línea PE lisa 16/40 x 1,2 m</t>
  </si>
  <si>
    <t>Conector PVC-PE 16 mm. + goma gromit</t>
  </si>
  <si>
    <t>MATERIALES ELECTRICOS</t>
  </si>
  <si>
    <t>Cable Cu H07VU 1,5 mm Blanco</t>
  </si>
  <si>
    <t>Hidrantes para llenado de pulverizadora ( 1 1/2")</t>
  </si>
  <si>
    <t>CENTRO DE DE CONTROL</t>
  </si>
  <si>
    <t>PROGRAMADOR DE RIEGO</t>
  </si>
  <si>
    <t>MOTOBOMBAS</t>
  </si>
  <si>
    <t>TABLERO BOMBAS Y CONTROL DE TERRENO</t>
  </si>
  <si>
    <t>VALVULAS CENTRO DE CONTROL</t>
  </si>
  <si>
    <t xml:space="preserve">Válvula mariposa volante 4" </t>
  </si>
  <si>
    <t>INYECTOR DE FERTILIZANTE</t>
  </si>
  <si>
    <t xml:space="preserve">Estanque de Premezcla en polietileno cilindro vertical 1.200 L. </t>
  </si>
  <si>
    <t>Bomba soplante 2 HP.  Uso continuo.  380 v. Incluye filtro de aire en 2"</t>
  </si>
  <si>
    <t>Bomba trasvase Bestflow FCP 1500S T. 2 HP, 380 V</t>
  </si>
  <si>
    <t>Bomba Inyectora de acero inox. 1,5 HP</t>
  </si>
  <si>
    <t>Tablero de protección y control para  1 Bomba soplante 2 HP + 1 bombas de inyectora de 1,5 HP (Todo trifásico).</t>
  </si>
  <si>
    <t>Fitting PVC (puntos de inyección, salida estanques, interconexión)</t>
  </si>
  <si>
    <t>gl.</t>
  </si>
  <si>
    <t>Fitting eléctrico (conexión bombas soplantes, bombas trasvase y bombas inyectoras)</t>
  </si>
  <si>
    <t>FITTING DE CONEXIÓN</t>
  </si>
  <si>
    <t>Fittings eléctrico</t>
  </si>
  <si>
    <t>INGENIERÍA</t>
  </si>
  <si>
    <t>Diseño hidráulico, planos, memoria de cálculo.</t>
  </si>
  <si>
    <t>MONTAJE, SUPERVISION Y PUESTA EN MARCHA</t>
  </si>
  <si>
    <t>Traslados personal técnico y supervisión</t>
  </si>
  <si>
    <t>Montaje centro de control (montaje tubería acero y montaje eléctrico)</t>
  </si>
  <si>
    <t>Montaje red hidráulica</t>
  </si>
  <si>
    <t>TOTAL NETO $</t>
  </si>
  <si>
    <t>IVA 19% $</t>
  </si>
  <si>
    <t>TOTAL $</t>
  </si>
  <si>
    <t>VALIDADOR SUMAS</t>
  </si>
  <si>
    <t>Etp max</t>
  </si>
  <si>
    <t>kc</t>
  </si>
  <si>
    <t>Superficie máxima regable</t>
  </si>
  <si>
    <t>Superficie diseño</t>
  </si>
  <si>
    <t>Diferencia de cota (m)</t>
  </si>
  <si>
    <t>Largo matriz (m)</t>
  </si>
  <si>
    <t>Largo submatriz (m)</t>
  </si>
  <si>
    <t>Matríz</t>
  </si>
  <si>
    <t>Submatríz</t>
  </si>
  <si>
    <t>Conduit</t>
  </si>
  <si>
    <t>Unidad comercial</t>
  </si>
  <si>
    <t>Válvula compuerta br. 1"</t>
  </si>
  <si>
    <t>Válvulas/sector  (u)</t>
  </si>
  <si>
    <t>Ø de la succión/ descarga (")</t>
  </si>
  <si>
    <t xml:space="preserve">Kit de inyección fertilizantes </t>
  </si>
  <si>
    <t>Cultivo</t>
  </si>
  <si>
    <t>Fittings de conexión de válvulas y tuberías de PVC (+ colas lavado)</t>
  </si>
  <si>
    <t>6:00</t>
  </si>
  <si>
    <t>7:00</t>
  </si>
  <si>
    <t>8:00</t>
  </si>
  <si>
    <t>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</si>
  <si>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</si>
  <si>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</si>
  <si>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</si>
  <si>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</si>
  <si>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</si>
  <si>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</si>
  <si>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</si>
  <si>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</si>
  <si>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</si>
  <si>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</si>
  <si>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Enero</t>
  </si>
  <si>
    <t>Febrero</t>
  </si>
  <si>
    <t>Caudal (l/s)</t>
  </si>
  <si>
    <t>Marzo</t>
  </si>
  <si>
    <t>H Bomba (m)</t>
  </si>
  <si>
    <t>ef bomba</t>
  </si>
  <si>
    <t>factor de potencia</t>
  </si>
  <si>
    <t>Abril</t>
  </si>
  <si>
    <t xml:space="preserve">Potencia kW </t>
  </si>
  <si>
    <t>Mayo</t>
  </si>
  <si>
    <t>Junio</t>
  </si>
  <si>
    <t>Julio</t>
  </si>
  <si>
    <t>Agosto</t>
  </si>
  <si>
    <t>KC</t>
  </si>
  <si>
    <t>Septiembre</t>
  </si>
  <si>
    <t>ef sistema</t>
  </si>
  <si>
    <t>Octubre</t>
  </si>
  <si>
    <t>Noviembre</t>
  </si>
  <si>
    <t>Diciembre</t>
  </si>
  <si>
    <t>ETP (mm/mes)</t>
  </si>
  <si>
    <t>Días operación</t>
  </si>
  <si>
    <t>ETP (mm/día)</t>
  </si>
  <si>
    <t>Demanda (mm/día)</t>
  </si>
  <si>
    <t>Total horas diarias (h)</t>
  </si>
  <si>
    <t>Horas en las cuales se satisface la demanda mediante generador fotovoltaico</t>
  </si>
  <si>
    <t>Potencia instalada (kWh)</t>
  </si>
  <si>
    <t>Generación mensual (kWh)</t>
  </si>
  <si>
    <t>Horas de operación diaria</t>
  </si>
  <si>
    <t>Generación diaria (kWh)</t>
  </si>
  <si>
    <t>Déficit diario (kWh)</t>
  </si>
  <si>
    <t>Deficit acumulado (kWh)</t>
  </si>
  <si>
    <t>% utilización baterias</t>
  </si>
  <si>
    <t xml:space="preserve">ef motor </t>
  </si>
  <si>
    <t>Horas disponibles</t>
  </si>
  <si>
    <t>Horas requeridas</t>
  </si>
  <si>
    <t>Tipo Generación</t>
  </si>
  <si>
    <t>Horas deficit</t>
  </si>
  <si>
    <t>Banco requerido (kWh/día)</t>
  </si>
  <si>
    <t>Mes crítico</t>
  </si>
  <si>
    <t>Potencia Iterada (kWh)*</t>
  </si>
  <si>
    <t>Tiempo máximo de riego (h/d)</t>
  </si>
  <si>
    <t>Mes máxima demanda (mm/día)</t>
  </si>
  <si>
    <t>Ubicación válvulas en submatriz</t>
  </si>
  <si>
    <t>Día 1</t>
  </si>
  <si>
    <t>Día 2</t>
  </si>
  <si>
    <t>Deficit/superhabit (kWh)</t>
  </si>
  <si>
    <t>Generación (kWh)</t>
  </si>
  <si>
    <t>Demanda (kWh)</t>
  </si>
  <si>
    <t>Operación</t>
  </si>
  <si>
    <t>% de utilización baterias</t>
  </si>
  <si>
    <t>Criterio de tiempo de riego</t>
  </si>
  <si>
    <t>Demanda diaria (kWh)</t>
  </si>
  <si>
    <t>Capacidad baterias (kWh)</t>
  </si>
  <si>
    <t>Pérdidas regulador de carga (%)</t>
  </si>
  <si>
    <t>Consumo bomba (W)</t>
  </si>
  <si>
    <t>Demanda mensual (kWh)</t>
  </si>
  <si>
    <t>Total anual</t>
  </si>
  <si>
    <t>Generacion Fotovoltaica (1 kWh) mensual (1 día)</t>
  </si>
  <si>
    <t>Recarga diaria</t>
  </si>
  <si>
    <t>Total diario</t>
  </si>
  <si>
    <t>Largo hileras</t>
  </si>
  <si>
    <t>Potencia requerida (BHP) al 65%</t>
  </si>
  <si>
    <t>Conduit Ø32 mm. c-IV</t>
  </si>
  <si>
    <t xml:space="preserve">*Hasta que horas de deficit sean 0 (aplica solo para Off Grid, sin baterías) </t>
  </si>
  <si>
    <t>Hp</t>
  </si>
  <si>
    <t>DISEÑO DE RIEGO</t>
  </si>
  <si>
    <t>Distancia entre posturas</t>
  </si>
  <si>
    <t>Distancia sobre lateral</t>
  </si>
  <si>
    <t>Porcentaje de la superficie</t>
  </si>
  <si>
    <t>Número total de posiciones</t>
  </si>
  <si>
    <t>Celdas a completar</t>
  </si>
  <si>
    <t>Velocidad de aplicación emisor</t>
  </si>
  <si>
    <t>cm/h</t>
  </si>
  <si>
    <t>Lamina de reposicion por postura</t>
  </si>
  <si>
    <t>cm</t>
  </si>
  <si>
    <t>Tiempo de riego por postura</t>
  </si>
  <si>
    <t xml:space="preserve">Frecuencia de riego por postura </t>
  </si>
  <si>
    <t>d</t>
  </si>
  <si>
    <t>Horas riego diarias</t>
  </si>
  <si>
    <t xml:space="preserve">Dias de trabajo por semana </t>
  </si>
  <si>
    <t>Area minima de riego por postura</t>
  </si>
  <si>
    <t>Número de Posturas</t>
  </si>
  <si>
    <t>Nº emisores /postura (teorico)</t>
  </si>
  <si>
    <t>Nº max emisores /postura (real)</t>
  </si>
  <si>
    <t>Caudal min requerido/postura</t>
  </si>
  <si>
    <t>L/s</t>
  </si>
  <si>
    <t>Caudal requerido/postura</t>
  </si>
  <si>
    <t>Caudal /ha</t>
  </si>
  <si>
    <t>Posturas / día</t>
  </si>
  <si>
    <t>12 x 12</t>
  </si>
  <si>
    <t>Marco disposición de emisores</t>
  </si>
  <si>
    <t>Celdas a ocultar</t>
  </si>
  <si>
    <t>Caudal por postura</t>
  </si>
  <si>
    <t>Laterales/postura</t>
  </si>
  <si>
    <t>Hidrantes</t>
  </si>
  <si>
    <t>Laterales</t>
  </si>
  <si>
    <t>PVC acople rápido</t>
  </si>
  <si>
    <t>PVC hidráulico</t>
  </si>
  <si>
    <t>Aspersor Sime Junior      540 l/h</t>
  </si>
  <si>
    <t>Fittings de conexión laterales a elevador</t>
  </si>
  <si>
    <t>Elevador + conexión aspersor+ válvula de corte</t>
  </si>
  <si>
    <t>Fittings de conexión de válvulas y tuberías (+ colas lavado)</t>
  </si>
  <si>
    <t>EMISORES (Debe adjuntar esquema de instalación)</t>
  </si>
  <si>
    <t>HIDRANTES  (Debe adjuntar esquema de instalación)</t>
  </si>
  <si>
    <t>Trazado matriz (m)</t>
  </si>
  <si>
    <t>Trazado submatriz (m)</t>
  </si>
  <si>
    <t>Posturas móviles</t>
  </si>
  <si>
    <t>Tipo de riego</t>
  </si>
  <si>
    <t>Días de generación</t>
  </si>
  <si>
    <t>Consumo bomba fertirriego + otros (% adic.)</t>
  </si>
  <si>
    <t>Lamina aplicada por riego (mm)</t>
  </si>
  <si>
    <t>Naranjos</t>
  </si>
  <si>
    <t>Línea integral de goteo no compensado 16/35/2 @ 0,5 m.</t>
  </si>
  <si>
    <t>Extremo</t>
  </si>
  <si>
    <t>Caudal instantáneo Q85% (l/s)</t>
  </si>
  <si>
    <r>
      <t>Volumen/temporada (m</t>
    </r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>/año)</t>
    </r>
  </si>
  <si>
    <t>Criterio de caudal instantáneo</t>
  </si>
  <si>
    <t>Criterio de Volumen/temporada</t>
  </si>
  <si>
    <t>Superficie regable máx (ha)</t>
  </si>
  <si>
    <t>Total Submatriz (m)</t>
  </si>
  <si>
    <t>Total Matriz (m)</t>
  </si>
  <si>
    <t>On Grid</t>
  </si>
  <si>
    <t>Goteo-cinta</t>
  </si>
  <si>
    <t>Largo lateral</t>
  </si>
  <si>
    <t>* Ingresar ETP (mm/mes) para los meses de riego. Meses sin riego, dejar celdas vacías</t>
  </si>
  <si>
    <t>Cinta</t>
  </si>
  <si>
    <t>Largo máximo de hileras por válvula (m)</t>
  </si>
  <si>
    <t>Operación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</si>
</sst>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General_)"/>
    <numFmt numFmtId="165" formatCode="_-* #,##0.00_-;_-* #,##0.00\-;_-* &quot;-&quot;??_-;_-@_-"/>
    <numFmt numFmtId="166" formatCode="_-* #,##0_-;_-* #,##0\-;_-* &quot;-&quot;??_-;_-@_-"/>
    <numFmt numFmtId="167" formatCode="#,##0.0"/>
    <numFmt numFmtId="168" formatCode="#,###\ "/>
    <numFmt numFmtId="169" formatCode="0.0"/>
    <numFmt numFmtId="170" formatCode="0.00_)"/>
    <numFmt numFmtId="171" formatCode="0_)"/>
    <numFmt numFmtId="172" formatCode="&quot;$&quot;\ #,##0_);\(&quot;$&quot;\ #,##0\)"/>
    <numFmt numFmtId="173" formatCode="#,##0\ _€"/>
  </numFmts>
  <fonts count="25" x14ac:knownFonts="1">
    <font>
      <sz val="11"/>
      <color theme="1"/>
      <name val="Calibri"/>
      <family val="2"/>
      <scheme val="minor"/>
    </font>
    <font>
      <sz val="10"/>
      <name val="Courie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ourier"/>
      <family val="3"/>
    </font>
    <font>
      <sz val="10"/>
      <name val="Book Antiqua"/>
      <family val="1"/>
    </font>
    <font>
      <sz val="11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Book Antiqua"/>
      <family val="1"/>
    </font>
    <font>
      <b/>
      <sz val="10"/>
      <color indexed="12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72FA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164" fontId="1" fillId="0" borderId="0"/>
    <xf numFmtId="165" fontId="3" fillId="0" borderId="0" applyFont="0" applyFill="0" applyBorder="0" applyAlignment="0" applyProtection="0"/>
    <xf numFmtId="164" fontId="5" fillId="0" borderId="0"/>
    <xf numFmtId="164" fontId="5" fillId="0" borderId="0"/>
    <xf numFmtId="0" fontId="6" fillId="0" borderId="0"/>
    <xf numFmtId="170" fontId="5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164" fontId="5" fillId="0" borderId="0"/>
  </cellStyleXfs>
  <cellXfs count="520">
    <xf numFmtId="0" fontId="0" fillId="0" borderId="0" xfId="0"/>
    <xf numFmtId="164" fontId="2" fillId="0" borderId="0" xfId="1" applyFont="1" applyAlignment="1">
      <alignment vertical="center"/>
    </xf>
    <xf numFmtId="164" fontId="2" fillId="0" borderId="0" xfId="1" applyFont="1" applyBorder="1" applyAlignment="1">
      <alignment vertical="center"/>
    </xf>
    <xf numFmtId="164" fontId="2" fillId="0" borderId="0" xfId="1" applyFont="1" applyBorder="1" applyAlignment="1">
      <alignment horizontal="center" vertical="center"/>
    </xf>
    <xf numFmtId="166" fontId="2" fillId="0" borderId="0" xfId="2" applyNumberFormat="1" applyFont="1" applyBorder="1" applyAlignment="1">
      <alignment vertical="center"/>
    </xf>
    <xf numFmtId="164" fontId="4" fillId="0" borderId="0" xfId="1" applyFont="1" applyBorder="1" applyAlignment="1">
      <alignment horizontal="left" vertical="center"/>
    </xf>
    <xf numFmtId="164" fontId="4" fillId="0" borderId="0" xfId="1" applyFont="1" applyBorder="1" applyAlignment="1">
      <alignment vertical="center"/>
    </xf>
    <xf numFmtId="164" fontId="2" fillId="0" borderId="0" xfId="1" applyNumberFormat="1" applyFont="1" applyFill="1" applyBorder="1" applyAlignment="1" applyProtection="1">
      <alignment horizontal="left" vertical="center"/>
    </xf>
    <xf numFmtId="164" fontId="2" fillId="0" borderId="1" xfId="1" applyNumberFormat="1" applyFont="1" applyFill="1" applyBorder="1" applyAlignment="1" applyProtection="1">
      <alignment horizontal="left" vertical="center"/>
    </xf>
    <xf numFmtId="164" fontId="2" fillId="0" borderId="2" xfId="1" applyNumberFormat="1" applyFont="1" applyFill="1" applyBorder="1" applyAlignment="1" applyProtection="1">
      <alignment horizontal="left" vertical="center"/>
    </xf>
    <xf numFmtId="49" fontId="2" fillId="0" borderId="5" xfId="1" applyNumberFormat="1" applyFont="1" applyFill="1" applyBorder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left" vertical="center"/>
    </xf>
    <xf numFmtId="164" fontId="2" fillId="0" borderId="7" xfId="1" applyFont="1" applyBorder="1" applyAlignment="1">
      <alignment horizontal="center" vertical="center"/>
    </xf>
    <xf numFmtId="167" fontId="2" fillId="0" borderId="7" xfId="1" applyNumberFormat="1" applyFont="1" applyBorder="1" applyAlignment="1">
      <alignment horizontal="center" vertical="center"/>
    </xf>
    <xf numFmtId="49" fontId="2" fillId="0" borderId="5" xfId="1" quotePrefix="1" applyNumberFormat="1" applyFont="1" applyFill="1" applyBorder="1" applyAlignment="1" applyProtection="1">
      <alignment horizontal="left" vertical="center"/>
    </xf>
    <xf numFmtId="3" fontId="2" fillId="0" borderId="6" xfId="1" applyNumberFormat="1" applyFont="1" applyBorder="1" applyAlignment="1" applyProtection="1">
      <alignment horizontal="right" vertical="center"/>
    </xf>
    <xf numFmtId="3" fontId="2" fillId="0" borderId="7" xfId="1" applyNumberFormat="1" applyFont="1" applyBorder="1" applyAlignment="1" applyProtection="1">
      <alignment horizontal="center" vertical="center"/>
    </xf>
    <xf numFmtId="49" fontId="2" fillId="0" borderId="8" xfId="1" applyNumberFormat="1" applyFont="1" applyFill="1" applyBorder="1" applyAlignment="1" applyProtection="1">
      <alignment horizontal="left" vertical="center"/>
    </xf>
    <xf numFmtId="49" fontId="2" fillId="0" borderId="9" xfId="1" applyNumberFormat="1" applyFont="1" applyFill="1" applyBorder="1" applyAlignment="1" applyProtection="1">
      <alignment horizontal="left" vertical="center"/>
    </xf>
    <xf numFmtId="3" fontId="2" fillId="0" borderId="10" xfId="1" applyNumberFormat="1" applyFont="1" applyBorder="1" applyAlignment="1" applyProtection="1">
      <alignment horizontal="right" vertical="center"/>
    </xf>
    <xf numFmtId="3" fontId="2" fillId="0" borderId="11" xfId="1" applyNumberFormat="1" applyFont="1" applyBorder="1" applyAlignment="1" applyProtection="1">
      <alignment horizontal="center" vertical="center"/>
    </xf>
    <xf numFmtId="3" fontId="2" fillId="0" borderId="7" xfId="1" applyNumberFormat="1" applyFont="1" applyBorder="1" applyAlignment="1">
      <alignment horizontal="center" vertical="center"/>
    </xf>
    <xf numFmtId="167" fontId="2" fillId="0" borderId="6" xfId="1" applyNumberFormat="1" applyFont="1" applyBorder="1" applyAlignment="1">
      <alignment vertical="center"/>
    </xf>
    <xf numFmtId="168" fontId="2" fillId="0" borderId="7" xfId="1" applyNumberFormat="1" applyFont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2" fillId="0" borderId="7" xfId="1" applyFont="1" applyBorder="1" applyAlignment="1">
      <alignment horizontal="left" vertical="center"/>
    </xf>
    <xf numFmtId="3" fontId="2" fillId="0" borderId="6" xfId="1" applyNumberFormat="1" applyFont="1" applyFill="1" applyBorder="1" applyAlignment="1" applyProtection="1">
      <alignment horizontal="right" vertical="center"/>
      <protection locked="0"/>
    </xf>
    <xf numFmtId="3" fontId="2" fillId="0" borderId="7" xfId="1" applyNumberFormat="1" applyFont="1" applyFill="1" applyBorder="1" applyAlignment="1" applyProtection="1">
      <alignment horizontal="center" vertical="center"/>
    </xf>
    <xf numFmtId="4" fontId="2" fillId="0" borderId="10" xfId="1" applyNumberFormat="1" applyFont="1" applyBorder="1" applyAlignment="1" applyProtection="1">
      <alignment horizontal="right" vertical="center"/>
    </xf>
    <xf numFmtId="170" fontId="2" fillId="0" borderId="6" xfId="1" applyNumberFormat="1" applyFont="1" applyBorder="1" applyAlignment="1" applyProtection="1">
      <alignment horizontal="right" vertical="center"/>
    </xf>
    <xf numFmtId="168" fontId="2" fillId="0" borderId="7" xfId="1" quotePrefix="1" applyNumberFormat="1" applyFont="1" applyBorder="1" applyAlignment="1">
      <alignment horizontal="center" vertical="center"/>
    </xf>
    <xf numFmtId="170" fontId="2" fillId="0" borderId="7" xfId="1" applyNumberFormat="1" applyFont="1" applyBorder="1" applyAlignment="1" applyProtection="1">
      <alignment horizontal="center" vertical="center"/>
    </xf>
    <xf numFmtId="170" fontId="2" fillId="0" borderId="10" xfId="1" applyNumberFormat="1" applyFont="1" applyBorder="1" applyAlignment="1" applyProtection="1">
      <alignment horizontal="right" vertical="center"/>
    </xf>
    <xf numFmtId="170" fontId="2" fillId="0" borderId="11" xfId="1" applyNumberFormat="1" applyFont="1" applyBorder="1" applyAlignment="1" applyProtection="1">
      <alignment horizontal="center" vertical="center"/>
    </xf>
    <xf numFmtId="170" fontId="2" fillId="0" borderId="0" xfId="1" applyNumberFormat="1" applyFont="1" applyBorder="1" applyAlignment="1" applyProtection="1">
      <alignment horizontal="lef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170" fontId="2" fillId="0" borderId="0" xfId="1" applyNumberFormat="1" applyFont="1" applyBorder="1" applyAlignment="1" applyProtection="1">
      <alignment vertical="center"/>
    </xf>
    <xf numFmtId="167" fontId="2" fillId="0" borderId="0" xfId="1" applyNumberFormat="1" applyFont="1" applyBorder="1" applyAlignment="1" applyProtection="1">
      <alignment vertical="center"/>
    </xf>
    <xf numFmtId="3" fontId="2" fillId="0" borderId="0" xfId="1" applyNumberFormat="1" applyFont="1" applyBorder="1" applyAlignment="1" applyProtection="1">
      <alignment vertical="center"/>
    </xf>
    <xf numFmtId="164" fontId="4" fillId="0" borderId="18" xfId="1" applyNumberFormat="1" applyFont="1" applyFill="1" applyBorder="1" applyAlignment="1" applyProtection="1">
      <alignment horizontal="left" vertical="center"/>
    </xf>
    <xf numFmtId="164" fontId="2" fillId="0" borderId="7" xfId="1" applyFont="1" applyBorder="1" applyAlignment="1">
      <alignment vertical="center"/>
    </xf>
    <xf numFmtId="164" fontId="4" fillId="0" borderId="18" xfId="1" applyNumberFormat="1" applyFont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center" vertical="center"/>
    </xf>
    <xf numFmtId="164" fontId="4" fillId="0" borderId="0" xfId="1" quotePrefix="1" applyNumberFormat="1" applyFont="1" applyBorder="1" applyAlignment="1" applyProtection="1">
      <alignment horizontal="center" vertical="center"/>
    </xf>
    <xf numFmtId="164" fontId="4" fillId="0" borderId="7" xfId="1" applyNumberFormat="1" applyFont="1" applyBorder="1" applyAlignment="1" applyProtection="1">
      <alignment horizontal="center" vertical="center"/>
    </xf>
    <xf numFmtId="164" fontId="4" fillId="0" borderId="19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9" xfId="1" applyNumberFormat="1" applyFont="1" applyBorder="1" applyAlignment="1" applyProtection="1">
      <alignment horizontal="center" vertical="center"/>
    </xf>
    <xf numFmtId="164" fontId="4" fillId="0" borderId="11" xfId="1" applyNumberFormat="1" applyFont="1" applyBorder="1" applyAlignment="1" applyProtection="1">
      <alignment horizontal="center" vertical="center"/>
    </xf>
    <xf numFmtId="164" fontId="2" fillId="0" borderId="18" xfId="1" applyFont="1" applyBorder="1" applyAlignment="1">
      <alignment horizontal="center" vertical="center"/>
    </xf>
    <xf numFmtId="164" fontId="2" fillId="0" borderId="18" xfId="1" applyNumberFormat="1" applyFont="1" applyBorder="1" applyAlignment="1" applyProtection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169" fontId="2" fillId="0" borderId="0" xfId="1" applyNumberFormat="1" applyFont="1" applyBorder="1" applyAlignment="1">
      <alignment horizontal="center" vertical="center"/>
    </xf>
    <xf numFmtId="3" fontId="2" fillId="0" borderId="0" xfId="1" applyNumberFormat="1" applyFont="1" applyBorder="1" applyAlignment="1" applyProtection="1">
      <alignment horizontal="center" vertical="center"/>
    </xf>
    <xf numFmtId="49" fontId="2" fillId="0" borderId="0" xfId="1" applyNumberFormat="1" applyFont="1" applyBorder="1" applyAlignment="1" applyProtection="1">
      <alignment horizontal="center" vertical="center"/>
    </xf>
    <xf numFmtId="4" fontId="2" fillId="0" borderId="7" xfId="1" applyNumberFormat="1" applyFont="1" applyBorder="1" applyAlignment="1" applyProtection="1">
      <alignment horizontal="center" vertical="center"/>
    </xf>
    <xf numFmtId="164" fontId="2" fillId="0" borderId="0" xfId="1" applyFont="1" applyFill="1" applyAlignment="1">
      <alignment vertical="center"/>
    </xf>
    <xf numFmtId="164" fontId="2" fillId="0" borderId="19" xfId="1" applyNumberFormat="1" applyFont="1" applyBorder="1" applyAlignment="1" applyProtection="1">
      <alignment horizontal="center" vertical="center"/>
    </xf>
    <xf numFmtId="164" fontId="2" fillId="0" borderId="9" xfId="1" applyFont="1" applyBorder="1" applyAlignment="1">
      <alignment horizontal="center" vertical="center"/>
    </xf>
    <xf numFmtId="2" fontId="2" fillId="0" borderId="9" xfId="2" applyNumberFormat="1" applyFont="1" applyBorder="1" applyAlignment="1">
      <alignment horizontal="center" vertical="center"/>
    </xf>
    <xf numFmtId="171" fontId="2" fillId="0" borderId="9" xfId="1" applyNumberFormat="1" applyFont="1" applyBorder="1" applyAlignment="1" applyProtection="1">
      <alignment horizontal="center" vertical="center"/>
    </xf>
    <xf numFmtId="171" fontId="2" fillId="0" borderId="11" xfId="1" applyNumberFormat="1" applyFont="1" applyBorder="1" applyAlignment="1" applyProtection="1">
      <alignment horizontal="center" vertical="center"/>
    </xf>
    <xf numFmtId="164" fontId="2" fillId="0" borderId="0" xfId="1" applyFont="1"/>
    <xf numFmtId="4" fontId="4" fillId="0" borderId="9" xfId="1" applyNumberFormat="1" applyFont="1" applyBorder="1" applyAlignment="1">
      <alignment horizontal="center" vertical="center"/>
    </xf>
    <xf numFmtId="3" fontId="4" fillId="0" borderId="9" xfId="1" applyNumberFormat="1" applyFont="1" applyBorder="1" applyAlignment="1">
      <alignment horizontal="center" vertical="center"/>
    </xf>
    <xf numFmtId="167" fontId="4" fillId="0" borderId="4" xfId="1" applyNumberFormat="1" applyFont="1" applyBorder="1" applyAlignment="1">
      <alignment horizontal="center" vertical="center"/>
    </xf>
    <xf numFmtId="164" fontId="2" fillId="0" borderId="0" xfId="4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2" fillId="0" borderId="0" xfId="4" applyNumberFormat="1" applyFont="1" applyFill="1" applyAlignment="1">
      <alignment vertical="center"/>
    </xf>
    <xf numFmtId="164" fontId="2" fillId="0" borderId="0" xfId="4" applyFont="1" applyFill="1" applyAlignment="1">
      <alignment vertical="center"/>
    </xf>
    <xf numFmtId="164" fontId="2" fillId="0" borderId="0" xfId="4" applyNumberFormat="1" applyFont="1" applyFill="1" applyAlignment="1" applyProtection="1">
      <alignment horizontal="left" vertical="center"/>
    </xf>
    <xf numFmtId="164" fontId="2" fillId="0" borderId="0" xfId="4" applyFont="1" applyFill="1" applyAlignment="1">
      <alignment vertical="center" wrapText="1"/>
    </xf>
    <xf numFmtId="164" fontId="2" fillId="4" borderId="0" xfId="4" applyFont="1" applyFill="1" applyAlignment="1">
      <alignment vertical="center"/>
    </xf>
    <xf numFmtId="164" fontId="2" fillId="0" borderId="0" xfId="4" applyNumberFormat="1" applyFont="1" applyAlignment="1" applyProtection="1">
      <alignment horizontal="left" vertical="center"/>
    </xf>
    <xf numFmtId="164" fontId="2" fillId="0" borderId="0" xfId="4" applyNumberFormat="1" applyFont="1" applyAlignment="1" applyProtection="1">
      <alignment horizontal="left" vertical="center" wrapText="1"/>
    </xf>
    <xf numFmtId="3" fontId="2" fillId="0" borderId="0" xfId="4" applyNumberFormat="1" applyFont="1" applyFill="1" applyAlignment="1">
      <alignment horizontal="right" vertical="center"/>
    </xf>
    <xf numFmtId="164" fontId="4" fillId="0" borderId="0" xfId="4" applyFont="1" applyBorder="1" applyAlignment="1">
      <alignment horizontal="left" vertical="center"/>
    </xf>
    <xf numFmtId="164" fontId="2" fillId="0" borderId="0" xfId="4" applyFont="1" applyBorder="1" applyAlignment="1">
      <alignment vertical="center"/>
    </xf>
    <xf numFmtId="164" fontId="2" fillId="0" borderId="0" xfId="4" applyNumberFormat="1" applyFont="1" applyBorder="1" applyAlignment="1" applyProtection="1">
      <alignment horizontal="left" vertical="center"/>
    </xf>
    <xf numFmtId="3" fontId="2" fillId="0" borderId="0" xfId="4" applyNumberFormat="1" applyFont="1" applyBorder="1" applyAlignment="1">
      <alignment vertical="center"/>
    </xf>
    <xf numFmtId="3" fontId="2" fillId="0" borderId="0" xfId="4" applyNumberFormat="1" applyFont="1" applyFill="1" applyAlignment="1" applyProtection="1">
      <alignment horizontal="left" vertical="center"/>
    </xf>
    <xf numFmtId="169" fontId="2" fillId="3" borderId="0" xfId="4" applyNumberFormat="1" applyFont="1" applyFill="1" applyAlignment="1" applyProtection="1">
      <alignment vertical="center"/>
    </xf>
    <xf numFmtId="164" fontId="4" fillId="0" borderId="13" xfId="4" applyFont="1" applyBorder="1" applyAlignment="1">
      <alignment horizontal="center" vertical="center"/>
    </xf>
    <xf numFmtId="164" fontId="4" fillId="0" borderId="13" xfId="4" applyFont="1" applyBorder="1" applyAlignment="1">
      <alignment horizontal="center" vertical="center" wrapText="1"/>
    </xf>
    <xf numFmtId="164" fontId="2" fillId="0" borderId="13" xfId="4" applyFont="1" applyBorder="1" applyAlignment="1">
      <alignment horizontal="center" vertical="center" wrapText="1"/>
    </xf>
    <xf numFmtId="164" fontId="4" fillId="0" borderId="0" xfId="4" applyFont="1" applyBorder="1" applyAlignment="1">
      <alignment horizontal="center" vertical="center"/>
    </xf>
    <xf numFmtId="164" fontId="2" fillId="0" borderId="0" xfId="4" applyFont="1" applyAlignment="1">
      <alignment horizontal="center" vertical="center"/>
    </xf>
    <xf numFmtId="164" fontId="2" fillId="4" borderId="0" xfId="4" applyFont="1" applyFill="1" applyAlignment="1">
      <alignment horizontal="center" vertical="center"/>
    </xf>
    <xf numFmtId="3" fontId="4" fillId="0" borderId="0" xfId="4" applyNumberFormat="1" applyFont="1" applyBorder="1" applyAlignment="1">
      <alignment horizontal="center" vertical="center"/>
    </xf>
    <xf numFmtId="1" fontId="2" fillId="0" borderId="0" xfId="4" applyNumberFormat="1" applyFont="1" applyFill="1" applyAlignment="1">
      <alignment vertical="center"/>
    </xf>
    <xf numFmtId="164" fontId="2" fillId="0" borderId="0" xfId="4" applyNumberFormat="1" applyFont="1" applyFill="1" applyAlignment="1" applyProtection="1">
      <alignment horizontal="right" vertical="center"/>
    </xf>
    <xf numFmtId="164" fontId="2" fillId="4" borderId="0" xfId="4" applyNumberFormat="1" applyFont="1" applyFill="1" applyAlignment="1" applyProtection="1">
      <alignment horizontal="right" vertical="center"/>
    </xf>
    <xf numFmtId="164" fontId="4" fillId="0" borderId="14" xfId="4" quotePrefix="1" applyNumberFormat="1" applyFont="1" applyBorder="1" applyAlignment="1" applyProtection="1">
      <alignment horizontal="left" vertical="center"/>
    </xf>
    <xf numFmtId="164" fontId="2" fillId="0" borderId="21" xfId="4" applyFont="1" applyBorder="1" applyAlignment="1">
      <alignment vertical="center"/>
    </xf>
    <xf numFmtId="3" fontId="2" fillId="0" borderId="21" xfId="4" applyNumberFormat="1" applyFont="1" applyBorder="1" applyAlignment="1" applyProtection="1">
      <alignment horizontal="center" vertical="center"/>
    </xf>
    <xf numFmtId="3" fontId="4" fillId="0" borderId="20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164" fontId="2" fillId="0" borderId="0" xfId="4" applyFont="1" applyFill="1" applyBorder="1" applyAlignment="1">
      <alignment vertical="center"/>
    </xf>
    <xf numFmtId="3" fontId="2" fillId="0" borderId="0" xfId="4" applyNumberFormat="1" applyFont="1" applyFill="1" applyBorder="1" applyAlignment="1">
      <alignment vertical="center"/>
    </xf>
    <xf numFmtId="164" fontId="2" fillId="0" borderId="0" xfId="4" applyFont="1" applyBorder="1" applyAlignment="1">
      <alignment horizontal="left" vertical="center" wrapText="1"/>
    </xf>
    <xf numFmtId="164" fontId="2" fillId="0" borderId="0" xfId="4" applyNumberFormat="1" applyFont="1" applyFill="1" applyAlignment="1" applyProtection="1">
      <alignment vertical="center"/>
    </xf>
    <xf numFmtId="164" fontId="4" fillId="0" borderId="14" xfId="4" applyNumberFormat="1" applyFont="1" applyBorder="1" applyAlignment="1" applyProtection="1">
      <alignment horizontal="left" vertical="center"/>
    </xf>
    <xf numFmtId="3" fontId="2" fillId="0" borderId="21" xfId="4" applyNumberFormat="1" applyFont="1" applyBorder="1" applyAlignment="1">
      <alignment vertical="center"/>
    </xf>
    <xf numFmtId="166" fontId="2" fillId="0" borderId="0" xfId="2" applyNumberFormat="1" applyFont="1" applyAlignment="1">
      <alignment vertical="center"/>
    </xf>
    <xf numFmtId="164" fontId="2" fillId="0" borderId="0" xfId="4" applyNumberFormat="1" applyFont="1" applyFill="1" applyAlignment="1" applyProtection="1">
      <alignment vertical="center" wrapText="1"/>
    </xf>
    <xf numFmtId="3" fontId="7" fillId="0" borderId="0" xfId="4" applyNumberFormat="1" applyFont="1" applyFill="1" applyBorder="1" applyAlignment="1">
      <alignment horizontal="right" vertical="center"/>
    </xf>
    <xf numFmtId="3" fontId="2" fillId="0" borderId="0" xfId="4" applyNumberFormat="1" applyFont="1" applyFill="1" applyBorder="1" applyAlignment="1">
      <alignment horizontal="right" vertical="center"/>
    </xf>
    <xf numFmtId="164" fontId="2" fillId="0" borderId="21" xfId="4" applyFont="1" applyFill="1" applyBorder="1" applyAlignment="1">
      <alignment vertical="center"/>
    </xf>
    <xf numFmtId="164" fontId="2" fillId="0" borderId="0" xfId="4" applyFont="1" applyAlignment="1">
      <alignment vertical="center" wrapText="1"/>
    </xf>
    <xf numFmtId="164" fontId="4" fillId="0" borderId="14" xfId="1" applyNumberFormat="1" applyFont="1" applyFill="1" applyBorder="1" applyAlignment="1" applyProtection="1">
      <alignment horizontal="left" vertical="center"/>
    </xf>
    <xf numFmtId="164" fontId="2" fillId="0" borderId="21" xfId="1" applyFont="1" applyFill="1" applyBorder="1" applyAlignment="1">
      <alignment vertical="center"/>
    </xf>
    <xf numFmtId="3" fontId="2" fillId="0" borderId="21" xfId="1" applyNumberFormat="1" applyFont="1" applyFill="1" applyBorder="1" applyAlignment="1">
      <alignment vertical="center"/>
    </xf>
    <xf numFmtId="3" fontId="2" fillId="0" borderId="20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 applyProtection="1">
      <alignment vertical="center"/>
    </xf>
    <xf numFmtId="164" fontId="2" fillId="0" borderId="0" xfId="1" applyNumberFormat="1" applyFont="1" applyFill="1" applyAlignment="1" applyProtection="1">
      <alignment horizontal="left" vertical="center"/>
    </xf>
    <xf numFmtId="3" fontId="2" fillId="0" borderId="0" xfId="2" applyNumberFormat="1" applyFont="1" applyFill="1" applyAlignment="1">
      <alignment vertical="center"/>
    </xf>
    <xf numFmtId="164" fontId="2" fillId="0" borderId="0" xfId="1" applyFont="1" applyFill="1" applyAlignment="1">
      <alignment vertical="center" wrapText="1"/>
    </xf>
    <xf numFmtId="3" fontId="4" fillId="0" borderId="0" xfId="4" applyNumberFormat="1" applyFont="1" applyAlignment="1">
      <alignment horizontal="center" vertical="center"/>
    </xf>
    <xf numFmtId="3" fontId="2" fillId="0" borderId="20" xfId="4" applyNumberFormat="1" applyFont="1" applyBorder="1" applyAlignment="1">
      <alignment vertical="center"/>
    </xf>
    <xf numFmtId="3" fontId="2" fillId="0" borderId="0" xfId="4" applyNumberFormat="1" applyFont="1" applyFill="1" applyAlignment="1">
      <alignment vertical="center" wrapText="1"/>
    </xf>
    <xf numFmtId="164" fontId="2" fillId="0" borderId="0" xfId="4" applyFont="1" applyFill="1" applyAlignment="1">
      <alignment horizontal="center" vertical="center"/>
    </xf>
    <xf numFmtId="164" fontId="2" fillId="0" borderId="0" xfId="4" applyFont="1" applyFill="1" applyBorder="1" applyAlignment="1">
      <alignment horizontal="right" vertical="center"/>
    </xf>
    <xf numFmtId="164" fontId="8" fillId="0" borderId="0" xfId="4" applyFont="1" applyFill="1" applyAlignment="1">
      <alignment vertical="center"/>
    </xf>
    <xf numFmtId="164" fontId="4" fillId="0" borderId="0" xfId="4" applyNumberFormat="1" applyFont="1" applyFill="1" applyAlignment="1" applyProtection="1">
      <alignment vertical="center" wrapText="1"/>
    </xf>
    <xf numFmtId="3" fontId="4" fillId="0" borderId="0" xfId="4" applyNumberFormat="1" applyFont="1" applyBorder="1" applyAlignment="1">
      <alignment horizontal="right" vertical="center"/>
    </xf>
    <xf numFmtId="164" fontId="2" fillId="0" borderId="0" xfId="4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3" fontId="4" fillId="0" borderId="0" xfId="4" applyNumberFormat="1" applyFont="1" applyAlignment="1">
      <alignment horizontal="right" vertical="center"/>
    </xf>
    <xf numFmtId="164" fontId="2" fillId="0" borderId="0" xfId="4" quotePrefix="1" applyFont="1" applyBorder="1" applyAlignment="1">
      <alignment horizontal="left" vertical="center"/>
    </xf>
    <xf numFmtId="3" fontId="4" fillId="0" borderId="0" xfId="4" applyNumberFormat="1" applyFont="1" applyFill="1" applyBorder="1" applyAlignment="1">
      <alignment vertical="center"/>
    </xf>
    <xf numFmtId="3" fontId="4" fillId="0" borderId="20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 applyProtection="1">
      <alignment horizontal="left" vertical="center"/>
    </xf>
    <xf numFmtId="3" fontId="4" fillId="0" borderId="0" xfId="4" applyNumberFormat="1" applyFont="1" applyFill="1" applyBorder="1" applyAlignment="1">
      <alignment horizontal="center" vertical="center"/>
    </xf>
    <xf numFmtId="3" fontId="2" fillId="0" borderId="21" xfId="1" applyNumberFormat="1" applyFont="1" applyBorder="1" applyAlignment="1">
      <alignment vertical="center"/>
    </xf>
    <xf numFmtId="3" fontId="4" fillId="0" borderId="20" xfId="1" applyNumberFormat="1" applyFont="1" applyBorder="1" applyAlignment="1">
      <alignment vertical="center"/>
    </xf>
    <xf numFmtId="164" fontId="2" fillId="4" borderId="0" xfId="1" applyFont="1" applyFill="1" applyAlignment="1">
      <alignment vertical="center"/>
    </xf>
    <xf numFmtId="164" fontId="2" fillId="0" borderId="0" xfId="1" applyNumberFormat="1" applyFont="1" applyFill="1" applyAlignment="1" applyProtection="1">
      <alignment horizontal="left" vertical="center" wrapText="1"/>
    </xf>
    <xf numFmtId="3" fontId="2" fillId="0" borderId="0" xfId="4" applyNumberFormat="1" applyFont="1" applyFill="1" applyBorder="1"/>
    <xf numFmtId="3" fontId="2" fillId="0" borderId="0" xfId="1" applyNumberFormat="1" applyFont="1" applyBorder="1" applyAlignment="1">
      <alignment vertical="center"/>
    </xf>
    <xf numFmtId="0" fontId="9" fillId="5" borderId="0" xfId="5" applyFont="1" applyFill="1"/>
    <xf numFmtId="0" fontId="9" fillId="0" borderId="0" xfId="4" applyNumberFormat="1" applyFont="1" applyFill="1" applyAlignment="1">
      <alignment wrapText="1"/>
    </xf>
    <xf numFmtId="0" fontId="9" fillId="0" borderId="0" xfId="4" applyNumberFormat="1" applyFont="1" applyFill="1" applyAlignment="1">
      <alignment horizontal="center" wrapText="1"/>
    </xf>
    <xf numFmtId="0" fontId="9" fillId="0" borderId="0" xfId="5" applyFont="1" applyFill="1" applyBorder="1"/>
    <xf numFmtId="173" fontId="9" fillId="0" borderId="0" xfId="5" applyNumberFormat="1" applyFont="1" applyFill="1" applyBorder="1"/>
    <xf numFmtId="3" fontId="10" fillId="0" borderId="0" xfId="5" applyNumberFormat="1" applyFont="1" applyFill="1" applyBorder="1"/>
    <xf numFmtId="164" fontId="2" fillId="7" borderId="0" xfId="4" applyFont="1" applyFill="1" applyAlignment="1">
      <alignment vertical="center"/>
    </xf>
    <xf numFmtId="0" fontId="9" fillId="5" borderId="0" xfId="4" applyNumberFormat="1" applyFont="1" applyFill="1"/>
    <xf numFmtId="0" fontId="9" fillId="0" borderId="0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/>
    <xf numFmtId="173" fontId="9" fillId="0" borderId="0" xfId="4" applyNumberFormat="1" applyFont="1" applyFill="1" applyBorder="1"/>
    <xf numFmtId="3" fontId="10" fillId="0" borderId="0" xfId="4" applyNumberFormat="1" applyFont="1" applyFill="1" applyBorder="1"/>
    <xf numFmtId="164" fontId="2" fillId="0" borderId="0" xfId="4" applyNumberFormat="1" applyFont="1" applyFill="1" applyAlignment="1">
      <alignment vertical="center" wrapText="1"/>
    </xf>
    <xf numFmtId="164" fontId="2" fillId="0" borderId="0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 applyBorder="1" applyAlignment="1">
      <alignment vertical="center"/>
    </xf>
    <xf numFmtId="3" fontId="2" fillId="0" borderId="0" xfId="4" applyNumberFormat="1" applyFont="1" applyBorder="1"/>
    <xf numFmtId="0" fontId="2" fillId="0" borderId="0" xfId="4" applyNumberFormat="1" applyFont="1"/>
    <xf numFmtId="0" fontId="2" fillId="0" borderId="0" xfId="4" applyNumberFormat="1" applyFont="1" applyFill="1" applyAlignment="1">
      <alignment vertical="center" wrapText="1"/>
    </xf>
    <xf numFmtId="0" fontId="2" fillId="0" borderId="0" xfId="4" applyNumberFormat="1" applyFont="1" applyFill="1" applyBorder="1" applyAlignment="1">
      <alignment vertical="center"/>
    </xf>
    <xf numFmtId="0" fontId="2" fillId="0" borderId="0" xfId="4" applyNumberFormat="1" applyFont="1" applyAlignment="1">
      <alignment vertical="center"/>
    </xf>
    <xf numFmtId="166" fontId="2" fillId="0" borderId="0" xfId="2" applyNumberFormat="1" applyFont="1" applyFill="1" applyAlignment="1">
      <alignment horizontal="right" vertical="center"/>
    </xf>
    <xf numFmtId="166" fontId="2" fillId="0" borderId="0" xfId="2" applyNumberFormat="1" applyFont="1" applyAlignment="1">
      <alignment horizontal="right" vertical="center"/>
    </xf>
    <xf numFmtId="164" fontId="11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164" fontId="2" fillId="0" borderId="0" xfId="4" applyNumberFormat="1" applyFont="1" applyFill="1" applyAlignment="1" applyProtection="1">
      <alignment horizontal="left" vertical="center" wrapText="1"/>
    </xf>
    <xf numFmtId="164" fontId="2" fillId="0" borderId="22" xfId="4" applyFont="1" applyBorder="1" applyAlignment="1">
      <alignment vertical="center"/>
    </xf>
    <xf numFmtId="164" fontId="4" fillId="0" borderId="23" xfId="4" applyFont="1" applyBorder="1" applyAlignment="1">
      <alignment horizontal="right" vertical="center"/>
    </xf>
    <xf numFmtId="164" fontId="2" fillId="0" borderId="23" xfId="4" applyFont="1" applyBorder="1" applyAlignment="1">
      <alignment vertical="center"/>
    </xf>
    <xf numFmtId="3" fontId="4" fillId="0" borderId="24" xfId="4" applyNumberFormat="1" applyFont="1" applyBorder="1" applyAlignment="1">
      <alignment vertical="center"/>
    </xf>
    <xf numFmtId="3" fontId="2" fillId="8" borderId="0" xfId="4" applyNumberFormat="1" applyFont="1" applyFill="1" applyAlignment="1">
      <alignment vertical="center"/>
    </xf>
    <xf numFmtId="164" fontId="2" fillId="0" borderId="6" xfId="4" applyFont="1" applyBorder="1" applyAlignment="1">
      <alignment vertical="center"/>
    </xf>
    <xf numFmtId="164" fontId="4" fillId="0" borderId="0" xfId="4" applyFont="1" applyBorder="1" applyAlignment="1">
      <alignment horizontal="right" vertical="center"/>
    </xf>
    <xf numFmtId="3" fontId="4" fillId="0" borderId="25" xfId="4" applyNumberFormat="1" applyFont="1" applyBorder="1" applyAlignment="1">
      <alignment vertical="center"/>
    </xf>
    <xf numFmtId="164" fontId="2" fillId="0" borderId="26" xfId="4" applyFont="1" applyBorder="1" applyAlignment="1">
      <alignment vertical="center"/>
    </xf>
    <xf numFmtId="164" fontId="2" fillId="0" borderId="27" xfId="4" applyFont="1" applyBorder="1" applyAlignment="1">
      <alignment vertical="center"/>
    </xf>
    <xf numFmtId="164" fontId="4" fillId="0" borderId="27" xfId="4" applyFont="1" applyBorder="1" applyAlignment="1">
      <alignment horizontal="right" vertical="center"/>
    </xf>
    <xf numFmtId="3" fontId="4" fillId="0" borderId="28" xfId="4" applyNumberFormat="1" applyFont="1" applyBorder="1" applyAlignment="1">
      <alignment vertical="center"/>
    </xf>
    <xf numFmtId="164" fontId="2" fillId="8" borderId="0" xfId="4" applyFont="1" applyFill="1" applyAlignment="1">
      <alignment vertical="center"/>
    </xf>
    <xf numFmtId="164" fontId="2" fillId="8" borderId="0" xfId="4" applyFont="1" applyFill="1" applyAlignment="1">
      <alignment horizontal="right" vertical="center"/>
    </xf>
    <xf numFmtId="167" fontId="2" fillId="0" borderId="6" xfId="1" applyNumberFormat="1" applyFont="1" applyFill="1" applyBorder="1" applyAlignment="1">
      <alignment vertical="center"/>
    </xf>
    <xf numFmtId="164" fontId="2" fillId="2" borderId="10" xfId="1" applyFont="1" applyFill="1" applyBorder="1" applyAlignment="1">
      <alignment horizontal="right" vertical="center"/>
    </xf>
    <xf numFmtId="164" fontId="2" fillId="0" borderId="11" xfId="1" applyFont="1" applyBorder="1" applyAlignment="1">
      <alignment horizontal="center" vertical="center"/>
    </xf>
    <xf numFmtId="2" fontId="2" fillId="0" borderId="6" xfId="1" applyNumberFormat="1" applyFont="1" applyFill="1" applyBorder="1" applyAlignment="1">
      <alignment horizontal="right" vertical="center"/>
    </xf>
    <xf numFmtId="164" fontId="2" fillId="0" borderId="9" xfId="1" applyFont="1" applyBorder="1" applyAlignment="1">
      <alignment vertical="center"/>
    </xf>
    <xf numFmtId="164" fontId="2" fillId="0" borderId="29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2" fontId="6" fillId="0" borderId="13" xfId="3" applyNumberFormat="1" applyFont="1" applyBorder="1"/>
    <xf numFmtId="164" fontId="4" fillId="0" borderId="0" xfId="4" quotePrefix="1" applyNumberFormat="1" applyFont="1" applyBorder="1" applyAlignment="1" applyProtection="1">
      <alignment horizontal="left" vertical="center"/>
    </xf>
    <xf numFmtId="3" fontId="2" fillId="0" borderId="0" xfId="4" applyNumberFormat="1" applyFont="1" applyBorder="1" applyAlignment="1" applyProtection="1">
      <alignment horizontal="center" vertical="center"/>
    </xf>
    <xf numFmtId="164" fontId="4" fillId="0" borderId="0" xfId="4" applyNumberFormat="1" applyFont="1" applyBorder="1" applyAlignment="1" applyProtection="1">
      <alignment horizontal="left" vertical="center"/>
    </xf>
    <xf numFmtId="164" fontId="2" fillId="0" borderId="4" xfId="1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12" fillId="0" borderId="0" xfId="7"/>
    <xf numFmtId="0" fontId="13" fillId="0" borderId="0" xfId="7" applyFont="1" applyBorder="1" applyAlignment="1">
      <alignment horizontal="center"/>
    </xf>
    <xf numFmtId="164" fontId="1" fillId="0" borderId="0" xfId="1"/>
    <xf numFmtId="0" fontId="12" fillId="0" borderId="0" xfId="7" applyFill="1" applyBorder="1" applyAlignment="1">
      <alignment horizontal="center"/>
    </xf>
    <xf numFmtId="0" fontId="12" fillId="0" borderId="13" xfId="7" applyBorder="1" applyAlignment="1">
      <alignment horizontal="center"/>
    </xf>
    <xf numFmtId="2" fontId="12" fillId="0" borderId="0" xfId="7" applyNumberFormat="1" applyFill="1" applyBorder="1" applyAlignment="1">
      <alignment horizontal="center"/>
    </xf>
    <xf numFmtId="2" fontId="12" fillId="0" borderId="13" xfId="7" applyNumberFormat="1" applyBorder="1" applyAlignment="1">
      <alignment horizontal="center"/>
    </xf>
    <xf numFmtId="169" fontId="12" fillId="0" borderId="0" xfId="7" applyNumberFormat="1" applyFill="1" applyBorder="1" applyAlignment="1">
      <alignment horizontal="center"/>
    </xf>
    <xf numFmtId="2" fontId="12" fillId="0" borderId="0" xfId="7" applyNumberFormat="1"/>
    <xf numFmtId="2" fontId="12" fillId="0" borderId="13" xfId="7" applyNumberFormat="1" applyBorder="1"/>
    <xf numFmtId="0" fontId="0" fillId="0" borderId="13" xfId="7" applyFont="1" applyBorder="1" applyAlignment="1">
      <alignment horizontal="center"/>
    </xf>
    <xf numFmtId="169" fontId="12" fillId="0" borderId="0" xfId="7" applyNumberFormat="1"/>
    <xf numFmtId="169" fontId="12" fillId="0" borderId="13" xfId="7" applyNumberFormat="1" applyBorder="1" applyAlignment="1">
      <alignment horizontal="center"/>
    </xf>
    <xf numFmtId="0" fontId="12" fillId="0" borderId="13" xfId="7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2" fillId="0" borderId="0" xfId="7" applyAlignment="1">
      <alignment horizontal="center"/>
    </xf>
    <xf numFmtId="0" fontId="0" fillId="0" borderId="0" xfId="7" applyFont="1" applyAlignment="1">
      <alignment horizontal="center"/>
    </xf>
    <xf numFmtId="0" fontId="12" fillId="0" borderId="0" xfId="7" applyFill="1" applyBorder="1"/>
    <xf numFmtId="0" fontId="12" fillId="0" borderId="0" xfId="7" applyBorder="1"/>
    <xf numFmtId="0" fontId="12" fillId="0" borderId="0" xfId="7" applyBorder="1" applyAlignment="1">
      <alignment horizontal="center"/>
    </xf>
    <xf numFmtId="0" fontId="0" fillId="0" borderId="13" xfId="7" applyFont="1" applyBorder="1"/>
    <xf numFmtId="2" fontId="12" fillId="0" borderId="13" xfId="7" applyNumberFormat="1" applyFill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69" fontId="12" fillId="0" borderId="13" xfId="7" applyNumberFormat="1" applyBorder="1"/>
    <xf numFmtId="0" fontId="12" fillId="0" borderId="13" xfId="7" applyFill="1" applyBorder="1" applyAlignment="1">
      <alignment horizontal="center"/>
    </xf>
    <xf numFmtId="2" fontId="12" fillId="0" borderId="0" xfId="7" applyNumberFormat="1" applyFill="1" applyBorder="1"/>
    <xf numFmtId="0" fontId="0" fillId="0" borderId="0" xfId="7" applyFont="1" applyBorder="1"/>
    <xf numFmtId="169" fontId="12" fillId="0" borderId="13" xfId="7" applyNumberFormat="1" applyFill="1" applyBorder="1" applyAlignment="1">
      <alignment horizontal="center"/>
    </xf>
    <xf numFmtId="0" fontId="12" fillId="0" borderId="18" xfId="7" applyBorder="1"/>
    <xf numFmtId="0" fontId="12" fillId="9" borderId="15" xfId="7" applyFill="1" applyBorder="1"/>
    <xf numFmtId="0" fontId="12" fillId="9" borderId="16" xfId="7" applyFill="1" applyBorder="1"/>
    <xf numFmtId="0" fontId="12" fillId="9" borderId="17" xfId="7" applyFill="1" applyBorder="1"/>
    <xf numFmtId="2" fontId="12" fillId="9" borderId="0" xfId="7" applyNumberFormat="1" applyFill="1" applyBorder="1"/>
    <xf numFmtId="2" fontId="0" fillId="9" borderId="7" xfId="7" applyNumberFormat="1" applyFont="1" applyFill="1" applyBorder="1"/>
    <xf numFmtId="0" fontId="12" fillId="9" borderId="7" xfId="7" applyFill="1" applyBorder="1"/>
    <xf numFmtId="0" fontId="12" fillId="9" borderId="19" xfId="7" applyFill="1" applyBorder="1"/>
    <xf numFmtId="0" fontId="12" fillId="9" borderId="9" xfId="7" applyFill="1" applyBorder="1"/>
    <xf numFmtId="0" fontId="12" fillId="9" borderId="11" xfId="7" applyFill="1" applyBorder="1"/>
    <xf numFmtId="2" fontId="12" fillId="9" borderId="31" xfId="7" applyNumberFormat="1" applyFill="1" applyBorder="1" applyAlignment="1">
      <alignment horizontal="center"/>
    </xf>
    <xf numFmtId="164" fontId="4" fillId="0" borderId="15" xfId="1" applyFont="1" applyBorder="1" applyAlignment="1">
      <alignment horizontal="center" vertical="center"/>
    </xf>
    <xf numFmtId="164" fontId="4" fillId="0" borderId="16" xfId="1" applyFont="1" applyBorder="1" applyAlignment="1">
      <alignment horizontal="center" vertical="center"/>
    </xf>
    <xf numFmtId="164" fontId="2" fillId="0" borderId="16" xfId="1" applyFont="1" applyBorder="1" applyAlignment="1">
      <alignment vertical="center"/>
    </xf>
    <xf numFmtId="164" fontId="2" fillId="0" borderId="17" xfId="1" applyFont="1" applyBorder="1" applyAlignment="1">
      <alignment vertical="center"/>
    </xf>
    <xf numFmtId="0" fontId="0" fillId="0" borderId="7" xfId="7" applyFont="1" applyBorder="1" applyAlignment="1">
      <alignment horizontal="center"/>
    </xf>
    <xf numFmtId="0" fontId="12" fillId="0" borderId="12" xfId="7" applyBorder="1"/>
    <xf numFmtId="164" fontId="2" fillId="0" borderId="19" xfId="1" applyFont="1" applyBorder="1" applyAlignment="1">
      <alignment horizontal="center" vertical="center"/>
    </xf>
    <xf numFmtId="164" fontId="2" fillId="0" borderId="11" xfId="1" applyFont="1" applyBorder="1" applyAlignment="1">
      <alignment vertical="center"/>
    </xf>
    <xf numFmtId="164" fontId="2" fillId="0" borderId="0" xfId="1" applyFont="1" applyAlignment="1">
      <alignment horizontal="right" vertical="center"/>
    </xf>
    <xf numFmtId="164" fontId="2" fillId="0" borderId="0" xfId="1" applyFont="1" applyBorder="1" applyAlignment="1">
      <alignment horizontal="right" vertical="center"/>
    </xf>
    <xf numFmtId="164" fontId="2" fillId="0" borderId="6" xfId="1" applyFont="1" applyFill="1" applyBorder="1" applyAlignment="1">
      <alignment horizontal="right" vertical="center"/>
    </xf>
    <xf numFmtId="0" fontId="0" fillId="9" borderId="32" xfId="7" applyFont="1" applyFill="1" applyBorder="1" applyAlignment="1">
      <alignment horizontal="center"/>
    </xf>
    <xf numFmtId="0" fontId="12" fillId="9" borderId="33" xfId="7" applyFill="1" applyBorder="1" applyAlignment="1">
      <alignment horizontal="center"/>
    </xf>
    <xf numFmtId="20" fontId="12" fillId="0" borderId="13" xfId="7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" fontId="12" fillId="0" borderId="0" xfId="7" applyNumberFormat="1" applyFill="1" applyBorder="1" applyAlignment="1">
      <alignment horizontal="center"/>
    </xf>
    <xf numFmtId="0" fontId="0" fillId="9" borderId="0" xfId="7" applyFont="1" applyFill="1" applyBorder="1"/>
    <xf numFmtId="2" fontId="0" fillId="0" borderId="0" xfId="7" applyNumberFormat="1" applyFont="1"/>
    <xf numFmtId="0" fontId="12" fillId="9" borderId="13" xfId="7" applyFill="1" applyBorder="1"/>
    <xf numFmtId="4" fontId="2" fillId="0" borderId="0" xfId="1" applyNumberFormat="1" applyFont="1" applyBorder="1" applyAlignment="1" applyProtection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2" fillId="0" borderId="34" xfId="1" applyFont="1" applyFill="1" applyBorder="1" applyAlignment="1">
      <alignment horizontal="center" vertical="center"/>
    </xf>
    <xf numFmtId="164" fontId="2" fillId="0" borderId="34" xfId="1" applyFont="1" applyFill="1" applyBorder="1" applyAlignment="1">
      <alignment vertical="center"/>
    </xf>
    <xf numFmtId="164" fontId="2" fillId="0" borderId="35" xfId="1" applyFont="1" applyBorder="1" applyAlignment="1">
      <alignment vertical="center"/>
    </xf>
    <xf numFmtId="164" fontId="2" fillId="0" borderId="0" xfId="1" applyFont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center" vertical="center"/>
    </xf>
    <xf numFmtId="168" fontId="2" fillId="0" borderId="0" xfId="1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left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167" fontId="2" fillId="0" borderId="0" xfId="1" applyNumberFormat="1" applyFont="1" applyBorder="1" applyAlignment="1">
      <alignment horizontal="center" vertical="center"/>
    </xf>
    <xf numFmtId="168" fontId="2" fillId="0" borderId="0" xfId="1" quotePrefix="1" applyNumberFormat="1" applyFont="1" applyBorder="1" applyAlignment="1">
      <alignment horizontal="center" vertical="center"/>
    </xf>
    <xf numFmtId="170" fontId="2" fillId="0" borderId="0" xfId="1" applyNumberFormat="1" applyFont="1" applyBorder="1" applyAlignment="1" applyProtection="1">
      <alignment horizontal="center" vertical="center"/>
    </xf>
    <xf numFmtId="167" fontId="2" fillId="0" borderId="0" xfId="1" applyNumberFormat="1" applyFont="1" applyBorder="1" applyAlignment="1" applyProtection="1">
      <alignment horizontal="center" vertical="center"/>
    </xf>
    <xf numFmtId="169" fontId="2" fillId="0" borderId="0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vertical="center"/>
    </xf>
    <xf numFmtId="164" fontId="2" fillId="2" borderId="0" xfId="1" applyFont="1" applyFill="1" applyAlignment="1">
      <alignment vertical="center"/>
    </xf>
    <xf numFmtId="2" fontId="2" fillId="2" borderId="0" xfId="1" applyNumberFormat="1" applyFont="1" applyFill="1" applyAlignment="1">
      <alignment vertical="center"/>
    </xf>
    <xf numFmtId="2" fontId="2" fillId="0" borderId="6" xfId="1" applyNumberFormat="1" applyFont="1" applyBorder="1" applyAlignment="1">
      <alignment horizontal="right" vertical="center"/>
    </xf>
    <xf numFmtId="169" fontId="12" fillId="0" borderId="0" xfId="7" applyNumberFormat="1" applyBorder="1"/>
    <xf numFmtId="164" fontId="6" fillId="0" borderId="0" xfId="11" applyFont="1"/>
    <xf numFmtId="164" fontId="6" fillId="0" borderId="0" xfId="11" applyFont="1" applyBorder="1" applyAlignment="1">
      <alignment horizontal="center"/>
    </xf>
    <xf numFmtId="164" fontId="6" fillId="0" borderId="0" xfId="11" applyFont="1" applyBorder="1"/>
    <xf numFmtId="164" fontId="17" fillId="0" borderId="0" xfId="11" quotePrefix="1" applyNumberFormat="1" applyFont="1" applyFill="1" applyBorder="1" applyAlignment="1" applyProtection="1">
      <alignment horizontal="left"/>
    </xf>
    <xf numFmtId="164" fontId="6" fillId="0" borderId="0" xfId="11" applyNumberFormat="1" applyFont="1" applyFill="1" applyBorder="1" applyAlignment="1" applyProtection="1">
      <alignment horizontal="left"/>
    </xf>
    <xf numFmtId="49" fontId="6" fillId="0" borderId="36" xfId="11" applyNumberFormat="1" applyFont="1" applyFill="1" applyBorder="1" applyAlignment="1" applyProtection="1">
      <alignment horizontal="left"/>
    </xf>
    <xf numFmtId="49" fontId="6" fillId="0" borderId="0" xfId="11" applyNumberFormat="1" applyFont="1" applyFill="1" applyBorder="1" applyAlignment="1" applyProtection="1">
      <alignment horizontal="left"/>
    </xf>
    <xf numFmtId="49" fontId="6" fillId="0" borderId="37" xfId="11" applyNumberFormat="1" applyFont="1" applyFill="1" applyBorder="1" applyAlignment="1" applyProtection="1">
      <alignment horizontal="left"/>
    </xf>
    <xf numFmtId="49" fontId="6" fillId="0" borderId="35" xfId="11" applyNumberFormat="1" applyFont="1" applyFill="1" applyBorder="1" applyAlignment="1" applyProtection="1">
      <alignment horizontal="left"/>
    </xf>
    <xf numFmtId="49" fontId="6" fillId="0" borderId="38" xfId="11" applyNumberFormat="1" applyFont="1" applyFill="1" applyBorder="1" applyAlignment="1" applyProtection="1">
      <alignment horizontal="left"/>
    </xf>
    <xf numFmtId="164" fontId="6" fillId="0" borderId="39" xfId="11" applyFont="1" applyBorder="1" applyAlignment="1">
      <alignment horizontal="center" vertical="center"/>
    </xf>
    <xf numFmtId="9" fontId="6" fillId="0" borderId="6" xfId="11" applyNumberFormat="1" applyFont="1" applyBorder="1" applyAlignment="1">
      <alignment horizontal="right" vertical="center"/>
    </xf>
    <xf numFmtId="167" fontId="6" fillId="0" borderId="40" xfId="11" applyNumberFormat="1" applyFont="1" applyBorder="1" applyAlignment="1">
      <alignment horizontal="center" vertical="center"/>
    </xf>
    <xf numFmtId="3" fontId="6" fillId="0" borderId="6" xfId="11" applyNumberFormat="1" applyFont="1" applyBorder="1" applyAlignment="1" applyProtection="1">
      <alignment horizontal="right" vertical="center"/>
    </xf>
    <xf numFmtId="3" fontId="6" fillId="0" borderId="40" xfId="11" applyNumberFormat="1" applyFont="1" applyBorder="1" applyAlignment="1" applyProtection="1">
      <alignment horizontal="center" vertical="center"/>
    </xf>
    <xf numFmtId="49" fontId="6" fillId="0" borderId="41" xfId="11" applyNumberFormat="1" applyFont="1" applyFill="1" applyBorder="1" applyAlignment="1" applyProtection="1">
      <alignment horizontal="left"/>
    </xf>
    <xf numFmtId="49" fontId="6" fillId="0" borderId="42" xfId="11" applyNumberFormat="1" applyFont="1" applyFill="1" applyBorder="1" applyAlignment="1" applyProtection="1">
      <alignment horizontal="left"/>
    </xf>
    <xf numFmtId="164" fontId="6" fillId="0" borderId="0" xfId="11" applyFont="1" applyBorder="1" applyAlignment="1">
      <alignment horizontal="right" vertical="center"/>
    </xf>
    <xf numFmtId="2" fontId="6" fillId="0" borderId="0" xfId="11" applyNumberFormat="1" applyFont="1" applyBorder="1" applyAlignment="1">
      <alignment horizontal="right" vertical="center"/>
    </xf>
    <xf numFmtId="164" fontId="6" fillId="0" borderId="0" xfId="11" applyFont="1" applyAlignment="1">
      <alignment horizontal="center"/>
    </xf>
    <xf numFmtId="2" fontId="6" fillId="0" borderId="0" xfId="11" applyNumberFormat="1" applyFont="1" applyFill="1" applyBorder="1" applyAlignment="1">
      <alignment horizontal="right" vertical="center"/>
    </xf>
    <xf numFmtId="164" fontId="6" fillId="0" borderId="39" xfId="11" applyFont="1" applyFill="1" applyBorder="1" applyAlignment="1">
      <alignment horizontal="center" vertical="center"/>
    </xf>
    <xf numFmtId="49" fontId="6" fillId="10" borderId="38" xfId="11" applyNumberFormat="1" applyFont="1" applyFill="1" applyBorder="1" applyAlignment="1" applyProtection="1">
      <alignment horizontal="left"/>
    </xf>
    <xf numFmtId="164" fontId="6" fillId="10" borderId="0" xfId="11" applyFont="1" applyFill="1"/>
    <xf numFmtId="49" fontId="6" fillId="10" borderId="42" xfId="11" applyNumberFormat="1" applyFont="1" applyFill="1" applyBorder="1" applyAlignment="1" applyProtection="1">
      <alignment horizontal="left"/>
    </xf>
    <xf numFmtId="164" fontId="6" fillId="10" borderId="0" xfId="11" applyFont="1" applyFill="1" applyBorder="1" applyAlignment="1">
      <alignment horizontal="right" vertical="center"/>
    </xf>
    <xf numFmtId="2" fontId="6" fillId="10" borderId="39" xfId="11" applyNumberFormat="1" applyFont="1" applyFill="1" applyBorder="1" applyAlignment="1">
      <alignment horizontal="center" vertical="center"/>
    </xf>
    <xf numFmtId="2" fontId="6" fillId="0" borderId="39" xfId="11" applyNumberFormat="1" applyFont="1" applyBorder="1" applyAlignment="1">
      <alignment horizontal="center" vertical="center"/>
    </xf>
    <xf numFmtId="4" fontId="6" fillId="10" borderId="0" xfId="11" applyNumberFormat="1" applyFont="1" applyFill="1" applyBorder="1" applyAlignment="1" applyProtection="1">
      <alignment horizontal="right" vertical="center"/>
    </xf>
    <xf numFmtId="3" fontId="6" fillId="10" borderId="39" xfId="11" applyNumberFormat="1" applyFont="1" applyFill="1" applyBorder="1" applyAlignment="1" applyProtection="1">
      <alignment horizontal="center" vertical="center"/>
    </xf>
    <xf numFmtId="167" fontId="6" fillId="0" borderId="0" xfId="11" applyNumberFormat="1" applyFont="1" applyBorder="1" applyAlignment="1" applyProtection="1">
      <alignment horizontal="right" vertical="center"/>
    </xf>
    <xf numFmtId="3" fontId="6" fillId="0" borderId="39" xfId="11" applyNumberFormat="1" applyFont="1" applyBorder="1" applyAlignment="1" applyProtection="1">
      <alignment horizontal="center" vertical="center"/>
    </xf>
    <xf numFmtId="49" fontId="6" fillId="0" borderId="43" xfId="11" applyNumberFormat="1" applyFont="1" applyFill="1" applyBorder="1" applyAlignment="1" applyProtection="1">
      <alignment horizontal="left"/>
    </xf>
    <xf numFmtId="49" fontId="6" fillId="0" borderId="44" xfId="11" applyNumberFormat="1" applyFont="1" applyFill="1" applyBorder="1" applyAlignment="1" applyProtection="1">
      <alignment horizontal="left"/>
    </xf>
    <xf numFmtId="170" fontId="6" fillId="0" borderId="0" xfId="11" applyNumberFormat="1" applyFont="1" applyBorder="1" applyAlignment="1" applyProtection="1">
      <alignment horizontal="right" vertical="center"/>
    </xf>
    <xf numFmtId="170" fontId="6" fillId="0" borderId="0" xfId="11" applyNumberFormat="1" applyFont="1" applyBorder="1" applyAlignment="1" applyProtection="1">
      <alignment horizontal="center" vertical="center"/>
    </xf>
    <xf numFmtId="170" fontId="6" fillId="0" borderId="0" xfId="11" applyNumberFormat="1" applyFont="1" applyBorder="1" applyAlignment="1" applyProtection="1">
      <alignment horizontal="right"/>
    </xf>
    <xf numFmtId="170" fontId="6" fillId="0" borderId="0" xfId="11" applyNumberFormat="1" applyFont="1" applyBorder="1" applyAlignment="1" applyProtection="1">
      <alignment horizontal="left"/>
    </xf>
    <xf numFmtId="3" fontId="2" fillId="0" borderId="39" xfId="1" applyNumberFormat="1" applyFont="1" applyBorder="1" applyAlignment="1">
      <alignment horizontal="center" vertical="center"/>
    </xf>
    <xf numFmtId="3" fontId="2" fillId="0" borderId="39" xfId="1" applyNumberFormat="1" applyFont="1" applyBorder="1" applyAlignment="1" applyProtection="1">
      <alignment horizontal="center" vertical="center"/>
    </xf>
    <xf numFmtId="168" fontId="2" fillId="0" borderId="39" xfId="1" applyNumberFormat="1" applyFont="1" applyBorder="1" applyAlignment="1">
      <alignment horizontal="center" vertical="center"/>
    </xf>
    <xf numFmtId="164" fontId="2" fillId="0" borderId="40" xfId="1" applyFont="1" applyBorder="1" applyAlignment="1">
      <alignment horizontal="center" vertical="center"/>
    </xf>
    <xf numFmtId="49" fontId="2" fillId="0" borderId="36" xfId="1" applyNumberFormat="1" applyFont="1" applyFill="1" applyBorder="1" applyAlignment="1" applyProtection="1">
      <alignment horizontal="left" vertical="center"/>
    </xf>
    <xf numFmtId="49" fontId="2" fillId="0" borderId="37" xfId="1" applyNumberFormat="1" applyFont="1" applyFill="1" applyBorder="1" applyAlignment="1" applyProtection="1">
      <alignment horizontal="left" vertical="center"/>
    </xf>
    <xf numFmtId="164" fontId="6" fillId="0" borderId="40" xfId="11" applyFont="1" applyBorder="1" applyAlignment="1">
      <alignment horizontal="center" vertical="center"/>
    </xf>
    <xf numFmtId="49" fontId="6" fillId="0" borderId="49" xfId="11" applyNumberFormat="1" applyFont="1" applyFill="1" applyBorder="1" applyAlignment="1" applyProtection="1">
      <alignment horizontal="left"/>
    </xf>
    <xf numFmtId="49" fontId="6" fillId="0" borderId="50" xfId="11" applyNumberFormat="1" applyFont="1" applyFill="1" applyBorder="1" applyAlignment="1" applyProtection="1">
      <alignment horizontal="left"/>
    </xf>
    <xf numFmtId="164" fontId="6" fillId="0" borderId="0" xfId="11" applyFont="1" applyFill="1" applyBorder="1" applyAlignment="1">
      <alignment horizontal="right" vertical="center"/>
    </xf>
    <xf numFmtId="164" fontId="6" fillId="0" borderId="10" xfId="11" applyFont="1" applyFill="1" applyBorder="1" applyAlignment="1">
      <alignment horizontal="right" vertical="center"/>
    </xf>
    <xf numFmtId="164" fontId="6" fillId="0" borderId="0" xfId="11" applyFont="1" applyFill="1" applyBorder="1" applyAlignment="1">
      <alignment horizontal="center"/>
    </xf>
    <xf numFmtId="164" fontId="6" fillId="0" borderId="0" xfId="11" applyFont="1" applyFill="1" applyBorder="1"/>
    <xf numFmtId="164" fontId="6" fillId="0" borderId="0" xfId="11" applyFont="1" applyFill="1"/>
    <xf numFmtId="164" fontId="6" fillId="0" borderId="0" xfId="11" applyFont="1" applyFill="1" applyAlignment="1">
      <alignment horizontal="center"/>
    </xf>
    <xf numFmtId="2" fontId="6" fillId="0" borderId="9" xfId="11" applyNumberFormat="1" applyFont="1" applyBorder="1" applyAlignment="1">
      <alignment horizontal="right" vertical="center"/>
    </xf>
    <xf numFmtId="170" fontId="6" fillId="0" borderId="39" xfId="11" applyNumberFormat="1" applyFont="1" applyBorder="1" applyAlignment="1" applyProtection="1">
      <alignment horizontal="center" vertical="center"/>
    </xf>
    <xf numFmtId="4" fontId="6" fillId="0" borderId="46" xfId="11" applyNumberFormat="1" applyFont="1" applyBorder="1" applyAlignment="1" applyProtection="1">
      <alignment horizontal="right" vertical="center"/>
    </xf>
    <xf numFmtId="3" fontId="6" fillId="0" borderId="45" xfId="11" applyNumberFormat="1" applyFont="1" applyBorder="1" applyAlignment="1" applyProtection="1">
      <alignment horizontal="center" vertical="center"/>
    </xf>
    <xf numFmtId="2" fontId="6" fillId="0" borderId="0" xfId="11" applyNumberFormat="1" applyFont="1" applyFill="1" applyBorder="1" applyAlignment="1" applyProtection="1">
      <alignment horizontal="left"/>
    </xf>
    <xf numFmtId="168" fontId="6" fillId="0" borderId="0" xfId="11" applyNumberFormat="1" applyFont="1" applyBorder="1" applyAlignment="1">
      <alignment horizontal="center" vertical="center"/>
    </xf>
    <xf numFmtId="170" fontId="6" fillId="0" borderId="10" xfId="11" applyNumberFormat="1" applyFont="1" applyBorder="1" applyAlignment="1" applyProtection="1">
      <alignment horizontal="right" vertical="center"/>
    </xf>
    <xf numFmtId="168" fontId="6" fillId="0" borderId="40" xfId="11" quotePrefix="1" applyNumberFormat="1" applyFont="1" applyBorder="1" applyAlignment="1">
      <alignment horizontal="center" vertical="center"/>
    </xf>
    <xf numFmtId="49" fontId="2" fillId="0" borderId="38" xfId="1" applyNumberFormat="1" applyFont="1" applyFill="1" applyBorder="1" applyAlignment="1" applyProtection="1">
      <alignment horizontal="left" vertical="center"/>
    </xf>
    <xf numFmtId="49" fontId="6" fillId="0" borderId="35" xfId="3" applyNumberFormat="1" applyFont="1" applyFill="1" applyBorder="1" applyAlignment="1" applyProtection="1">
      <alignment horizontal="left"/>
    </xf>
    <xf numFmtId="49" fontId="2" fillId="0" borderId="51" xfId="1" quotePrefix="1" applyNumberFormat="1" applyFont="1" applyFill="1" applyBorder="1" applyAlignment="1" applyProtection="1">
      <alignment horizontal="left" vertical="center"/>
    </xf>
    <xf numFmtId="49" fontId="2" fillId="0" borderId="51" xfId="1" applyNumberFormat="1" applyFont="1" applyFill="1" applyBorder="1" applyAlignment="1" applyProtection="1">
      <alignment horizontal="left" vertical="center"/>
    </xf>
    <xf numFmtId="170" fontId="2" fillId="0" borderId="51" xfId="1" applyNumberFormat="1" applyFont="1" applyBorder="1" applyAlignment="1" applyProtection="1">
      <alignment vertical="center"/>
    </xf>
    <xf numFmtId="170" fontId="2" fillId="0" borderId="51" xfId="1" applyNumberFormat="1" applyFont="1" applyBorder="1" applyAlignment="1" applyProtection="1">
      <alignment horizontal="center" vertical="center"/>
    </xf>
    <xf numFmtId="4" fontId="2" fillId="0" borderId="51" xfId="1" applyNumberFormat="1" applyFont="1" applyBorder="1" applyAlignment="1" applyProtection="1">
      <alignment vertical="center"/>
    </xf>
    <xf numFmtId="167" fontId="2" fillId="0" borderId="51" xfId="1" applyNumberFormat="1" applyFont="1" applyBorder="1" applyAlignment="1" applyProtection="1">
      <alignment horizontal="center" vertical="center"/>
    </xf>
    <xf numFmtId="3" fontId="2" fillId="0" borderId="51" xfId="1" applyNumberFormat="1" applyFont="1" applyBorder="1" applyAlignment="1" applyProtection="1">
      <alignment vertical="center"/>
    </xf>
    <xf numFmtId="3" fontId="2" fillId="0" borderId="51" xfId="1" applyNumberFormat="1" applyFont="1" applyBorder="1" applyAlignment="1" applyProtection="1">
      <alignment horizontal="center" vertical="center"/>
    </xf>
    <xf numFmtId="164" fontId="6" fillId="0" borderId="51" xfId="3" applyFont="1" applyBorder="1"/>
    <xf numFmtId="49" fontId="6" fillId="0" borderId="51" xfId="3" applyNumberFormat="1" applyFont="1" applyFill="1" applyBorder="1" applyAlignment="1" applyProtection="1">
      <alignment horizontal="left"/>
    </xf>
    <xf numFmtId="2" fontId="6" fillId="0" borderId="51" xfId="3" applyNumberFormat="1" applyFont="1" applyBorder="1"/>
    <xf numFmtId="164" fontId="2" fillId="0" borderId="51" xfId="1" applyFont="1" applyBorder="1" applyAlignment="1">
      <alignment horizontal="center" vertical="center"/>
    </xf>
    <xf numFmtId="169" fontId="6" fillId="0" borderId="51" xfId="3" applyNumberFormat="1" applyFont="1" applyBorder="1"/>
    <xf numFmtId="49" fontId="2" fillId="0" borderId="52" xfId="1" applyNumberFormat="1" applyFont="1" applyFill="1" applyBorder="1" applyAlignment="1" applyProtection="1">
      <alignment horizontal="left" vertical="center"/>
    </xf>
    <xf numFmtId="49" fontId="2" fillId="0" borderId="53" xfId="1" applyNumberFormat="1" applyFont="1" applyFill="1" applyBorder="1" applyAlignment="1" applyProtection="1">
      <alignment horizontal="left" vertical="center"/>
    </xf>
    <xf numFmtId="49" fontId="6" fillId="0" borderId="38" xfId="11" applyNumberFormat="1" applyFont="1" applyFill="1" applyBorder="1" applyAlignment="1" applyProtection="1">
      <alignment horizontal="left" vertical="center"/>
    </xf>
    <xf numFmtId="49" fontId="6" fillId="0" borderId="42" xfId="11" applyNumberFormat="1" applyFont="1" applyFill="1" applyBorder="1" applyAlignment="1" applyProtection="1">
      <alignment horizontal="left" vertical="center"/>
    </xf>
    <xf numFmtId="0" fontId="0" fillId="0" borderId="31" xfId="7" applyFont="1" applyBorder="1" applyAlignment="1">
      <alignment horizontal="center"/>
    </xf>
    <xf numFmtId="164" fontId="4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0" fontId="0" fillId="0" borderId="0" xfId="7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167" fontId="2" fillId="0" borderId="4" xfId="1" applyNumberFormat="1" applyFont="1" applyBorder="1" applyAlignment="1" applyProtection="1">
      <alignment horizontal="center" vertical="center"/>
    </xf>
    <xf numFmtId="164" fontId="2" fillId="0" borderId="4" xfId="1" applyFont="1" applyBorder="1" applyAlignment="1">
      <alignment horizontal="center" vertical="center"/>
    </xf>
    <xf numFmtId="49" fontId="2" fillId="0" borderId="29" xfId="1" quotePrefix="1" applyNumberFormat="1" applyFont="1" applyFill="1" applyBorder="1" applyAlignment="1" applyProtection="1">
      <alignment horizontal="left" vertical="center"/>
    </xf>
    <xf numFmtId="164" fontId="6" fillId="0" borderId="29" xfId="3" applyFont="1" applyBorder="1"/>
    <xf numFmtId="4" fontId="2" fillId="0" borderId="34" xfId="1" applyNumberFormat="1" applyFont="1" applyBorder="1" applyAlignment="1" applyProtection="1">
      <alignment vertical="center"/>
    </xf>
    <xf numFmtId="2" fontId="6" fillId="0" borderId="34" xfId="3" applyNumberFormat="1" applyFont="1" applyBorder="1"/>
    <xf numFmtId="164" fontId="6" fillId="0" borderId="9" xfId="11" applyFont="1" applyBorder="1"/>
    <xf numFmtId="49" fontId="2" fillId="0" borderId="2" xfId="1" applyNumberFormat="1" applyFont="1" applyFill="1" applyBorder="1" applyAlignment="1" applyProtection="1">
      <alignment horizontal="left" vertical="center"/>
    </xf>
    <xf numFmtId="169" fontId="6" fillId="0" borderId="3" xfId="3" applyNumberFormat="1" applyFont="1" applyBorder="1"/>
    <xf numFmtId="164" fontId="2" fillId="0" borderId="0" xfId="1" applyFont="1" applyBorder="1" applyAlignment="1">
      <alignment horizontal="center" vertical="center"/>
    </xf>
    <xf numFmtId="164" fontId="4" fillId="0" borderId="0" xfId="4" applyFont="1" applyBorder="1" applyAlignment="1">
      <alignment vertical="center"/>
    </xf>
    <xf numFmtId="164" fontId="2" fillId="0" borderId="27" xfId="4" applyFont="1" applyFill="1" applyBorder="1" applyAlignment="1">
      <alignment horizontal="left" vertical="center" wrapText="1"/>
    </xf>
    <xf numFmtId="164" fontId="4" fillId="0" borderId="13" xfId="4" applyFont="1" applyBorder="1" applyAlignment="1">
      <alignment vertical="center"/>
    </xf>
    <xf numFmtId="49" fontId="2" fillId="0" borderId="29" xfId="1" applyNumberFormat="1" applyFont="1" applyFill="1" applyBorder="1" applyAlignment="1" applyProtection="1">
      <alignment horizontal="left" vertical="center"/>
    </xf>
    <xf numFmtId="164" fontId="2" fillId="0" borderId="4" xfId="1" applyFont="1" applyBorder="1" applyAlignment="1">
      <alignment vertical="center"/>
    </xf>
    <xf numFmtId="164" fontId="2" fillId="0" borderId="0" xfId="1" applyFont="1" applyBorder="1" applyAlignment="1">
      <alignment horizontal="center" vertical="center"/>
    </xf>
    <xf numFmtId="49" fontId="0" fillId="0" borderId="13" xfId="7" applyNumberFormat="1" applyFont="1" applyBorder="1"/>
    <xf numFmtId="0" fontId="12" fillId="0" borderId="0" xfId="7" applyFill="1"/>
    <xf numFmtId="164" fontId="2" fillId="0" borderId="0" xfId="1" applyFont="1" applyBorder="1" applyAlignment="1">
      <alignment horizontal="center" vertical="center"/>
    </xf>
    <xf numFmtId="0" fontId="12" fillId="0" borderId="13" xfId="7" applyBorder="1" applyAlignment="1">
      <alignment horizontal="center"/>
    </xf>
    <xf numFmtId="1" fontId="2" fillId="0" borderId="4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69" fontId="2" fillId="0" borderId="0" xfId="4" applyNumberFormat="1" applyFont="1" applyFill="1" applyAlignment="1" applyProtection="1">
      <alignment vertical="center"/>
    </xf>
    <xf numFmtId="166" fontId="2" fillId="0" borderId="0" xfId="2" applyNumberFormat="1" applyFont="1" applyFill="1" applyAlignment="1">
      <alignment vertical="center"/>
    </xf>
    <xf numFmtId="0" fontId="2" fillId="0" borderId="0" xfId="4" applyNumberFormat="1" applyFont="1" applyFill="1"/>
    <xf numFmtId="0" fontId="2" fillId="0" borderId="0" xfId="4" applyNumberFormat="1" applyFont="1" applyFill="1" applyAlignment="1">
      <alignment vertical="center"/>
    </xf>
    <xf numFmtId="0" fontId="12" fillId="2" borderId="13" xfId="7" applyFill="1" applyBorder="1" applyAlignment="1" applyProtection="1">
      <alignment horizontal="center"/>
      <protection locked="0"/>
    </xf>
    <xf numFmtId="0" fontId="12" fillId="2" borderId="31" xfId="7" applyFill="1" applyBorder="1" applyAlignment="1" applyProtection="1">
      <alignment horizontal="center"/>
      <protection locked="0"/>
    </xf>
    <xf numFmtId="164" fontId="2" fillId="2" borderId="4" xfId="1" applyFont="1" applyFill="1" applyBorder="1" applyAlignment="1" applyProtection="1">
      <alignment horizontal="center" vertical="center"/>
      <protection locked="0"/>
    </xf>
    <xf numFmtId="164" fontId="2" fillId="2" borderId="6" xfId="1" applyFont="1" applyFill="1" applyBorder="1" applyAlignment="1" applyProtection="1">
      <alignment horizontal="right" vertical="center"/>
      <protection locked="0"/>
    </xf>
    <xf numFmtId="164" fontId="2" fillId="2" borderId="0" xfId="1" applyFont="1" applyFill="1" applyBorder="1" applyAlignment="1" applyProtection="1">
      <alignment horizontal="right" vertical="center"/>
      <protection locked="0"/>
    </xf>
    <xf numFmtId="2" fontId="2" fillId="2" borderId="10" xfId="1" applyNumberFormat="1" applyFont="1" applyFill="1" applyBorder="1" applyAlignment="1" applyProtection="1">
      <alignment horizontal="right" vertical="center"/>
      <protection locked="0"/>
    </xf>
    <xf numFmtId="4" fontId="2" fillId="2" borderId="6" xfId="1" applyNumberFormat="1" applyFont="1" applyFill="1" applyBorder="1" applyAlignment="1" applyProtection="1">
      <alignment horizontal="right" vertical="center"/>
      <protection locked="0"/>
    </xf>
    <xf numFmtId="164" fontId="6" fillId="2" borderId="51" xfId="3" applyFont="1" applyFill="1" applyBorder="1" applyProtection="1">
      <protection locked="0"/>
    </xf>
    <xf numFmtId="2" fontId="2" fillId="0" borderId="0" xfId="2" applyNumberFormat="1" applyFont="1" applyFill="1" applyBorder="1" applyAlignment="1">
      <alignment horizontal="center" vertical="center"/>
    </xf>
    <xf numFmtId="164" fontId="2" fillId="2" borderId="10" xfId="1" applyFont="1" applyFill="1" applyBorder="1" applyAlignment="1" applyProtection="1">
      <alignment horizontal="right" vertical="center"/>
      <protection locked="0"/>
    </xf>
    <xf numFmtId="4" fontId="6" fillId="2" borderId="10" xfId="11" applyNumberFormat="1" applyFont="1" applyFill="1" applyBorder="1" applyAlignment="1" applyProtection="1">
      <alignment horizontal="right" vertical="center"/>
      <protection locked="0"/>
    </xf>
    <xf numFmtId="164" fontId="6" fillId="2" borderId="0" xfId="11" applyFont="1" applyFill="1" applyBorder="1" applyAlignment="1" applyProtection="1">
      <alignment horizontal="right" vertical="center"/>
      <protection locked="0"/>
    </xf>
    <xf numFmtId="3" fontId="6" fillId="2" borderId="6" xfId="11" applyNumberFormat="1" applyFont="1" applyFill="1" applyBorder="1" applyAlignment="1" applyProtection="1">
      <alignment horizontal="right" vertical="center"/>
      <protection locked="0"/>
    </xf>
    <xf numFmtId="164" fontId="18" fillId="2" borderId="0" xfId="11" applyFont="1" applyFill="1" applyBorder="1" applyAlignment="1" applyProtection="1">
      <alignment horizontal="right" vertical="center"/>
      <protection locked="0"/>
    </xf>
    <xf numFmtId="170" fontId="6" fillId="2" borderId="0" xfId="11" applyNumberFormat="1" applyFont="1" applyFill="1" applyBorder="1" applyAlignment="1" applyProtection="1">
      <alignment horizontal="right" vertical="center"/>
      <protection locked="0"/>
    </xf>
    <xf numFmtId="164" fontId="6" fillId="0" borderId="0" xfId="11" applyFont="1" applyProtection="1">
      <protection locked="0"/>
    </xf>
    <xf numFmtId="49" fontId="6" fillId="10" borderId="36" xfId="11" applyNumberFormat="1" applyFont="1" applyFill="1" applyBorder="1" applyAlignment="1" applyProtection="1">
      <alignment horizontal="left"/>
      <protection locked="0"/>
    </xf>
    <xf numFmtId="49" fontId="6" fillId="10" borderId="38" xfId="11" applyNumberFormat="1" applyFont="1" applyFill="1" applyBorder="1" applyAlignment="1" applyProtection="1">
      <alignment horizontal="left"/>
      <protection locked="0"/>
    </xf>
    <xf numFmtId="2" fontId="6" fillId="10" borderId="0" xfId="11" applyNumberFormat="1" applyFont="1" applyFill="1" applyBorder="1" applyAlignment="1" applyProtection="1">
      <alignment horizontal="right" vertical="center"/>
      <protection locked="0"/>
    </xf>
    <xf numFmtId="164" fontId="6" fillId="10" borderId="39" xfId="11" applyFont="1" applyFill="1" applyBorder="1" applyAlignment="1" applyProtection="1">
      <alignment horizontal="center" vertical="center"/>
      <protection locked="0"/>
    </xf>
    <xf numFmtId="164" fontId="6" fillId="0" borderId="0" xfId="11" applyFont="1" applyBorder="1" applyAlignment="1" applyProtection="1">
      <alignment horizontal="center"/>
      <protection locked="0"/>
    </xf>
    <xf numFmtId="164" fontId="6" fillId="0" borderId="0" xfId="11" applyFont="1" applyBorder="1" applyProtection="1">
      <protection locked="0"/>
    </xf>
    <xf numFmtId="164" fontId="6" fillId="0" borderId="0" xfId="11" applyFont="1" applyFill="1" applyBorder="1" applyProtection="1">
      <protection locked="0"/>
    </xf>
    <xf numFmtId="164" fontId="6" fillId="2" borderId="10" xfId="3" applyFont="1" applyFill="1" applyBorder="1" applyProtection="1">
      <protection locked="0"/>
    </xf>
    <xf numFmtId="2" fontId="12" fillId="2" borderId="13" xfId="7" applyNumberFormat="1" applyFill="1" applyBorder="1" applyAlignment="1" applyProtection="1">
      <alignment horizontal="center"/>
      <protection locked="0"/>
    </xf>
    <xf numFmtId="0" fontId="0" fillId="2" borderId="0" xfId="7" applyFont="1" applyFill="1" applyProtection="1">
      <protection locked="0"/>
    </xf>
    <xf numFmtId="0" fontId="12" fillId="2" borderId="13" xfId="7" applyFill="1" applyBorder="1" applyProtection="1">
      <protection locked="0"/>
    </xf>
    <xf numFmtId="164" fontId="4" fillId="2" borderId="0" xfId="4" applyFont="1" applyFill="1" applyBorder="1" applyAlignment="1" applyProtection="1">
      <alignment horizontal="left" vertical="center"/>
      <protection locked="0"/>
    </xf>
    <xf numFmtId="3" fontId="2" fillId="2" borderId="0" xfId="4" applyNumberFormat="1" applyFont="1" applyFill="1" applyAlignment="1" applyProtection="1">
      <alignment horizontal="right" vertical="center"/>
      <protection locked="0"/>
    </xf>
    <xf numFmtId="3" fontId="2" fillId="0" borderId="0" xfId="4" applyNumberFormat="1" applyFont="1" applyFill="1" applyAlignment="1" applyProtection="1">
      <alignment vertical="center"/>
      <protection locked="0"/>
    </xf>
    <xf numFmtId="3" fontId="2" fillId="5" borderId="0" xfId="4" applyNumberFormat="1" applyFont="1" applyFill="1" applyAlignment="1" applyProtection="1">
      <alignment horizontal="right" vertical="center"/>
      <protection locked="0"/>
    </xf>
    <xf numFmtId="3" fontId="2" fillId="0" borderId="0" xfId="4" applyNumberFormat="1" applyFont="1" applyFill="1" applyAlignment="1" applyProtection="1">
      <alignment horizontal="right" vertical="center"/>
      <protection locked="0"/>
    </xf>
    <xf numFmtId="4" fontId="2" fillId="2" borderId="0" xfId="4" applyNumberFormat="1" applyFont="1" applyFill="1" applyAlignment="1" applyProtection="1">
      <alignment vertical="center"/>
      <protection locked="0"/>
    </xf>
    <xf numFmtId="3" fontId="2" fillId="0" borderId="0" xfId="1" applyNumberFormat="1" applyFont="1" applyFill="1" applyAlignment="1" applyProtection="1">
      <alignment vertical="center"/>
      <protection locked="0"/>
    </xf>
    <xf numFmtId="3" fontId="2" fillId="2" borderId="0" xfId="1" applyNumberFormat="1" applyFont="1" applyFill="1" applyAlignment="1" applyProtection="1">
      <alignment horizontal="right" vertical="center"/>
      <protection locked="0"/>
    </xf>
    <xf numFmtId="4" fontId="2" fillId="2" borderId="0" xfId="4" applyNumberFormat="1" applyFont="1" applyFill="1" applyAlignment="1" applyProtection="1">
      <alignment horizontal="right" vertical="center"/>
      <protection locked="0"/>
    </xf>
    <xf numFmtId="3" fontId="2" fillId="2" borderId="0" xfId="4" applyNumberFormat="1" applyFont="1" applyFill="1" applyAlignment="1" applyProtection="1">
      <alignment vertical="center"/>
      <protection locked="0"/>
    </xf>
    <xf numFmtId="3" fontId="2" fillId="6" borderId="0" xfId="4" applyNumberFormat="1" applyFont="1" applyFill="1" applyAlignment="1" applyProtection="1">
      <alignment vertical="center"/>
      <protection locked="0"/>
    </xf>
    <xf numFmtId="3" fontId="2" fillId="0" borderId="0" xfId="4" applyNumberFormat="1" applyFont="1" applyFill="1" applyAlignment="1" applyProtection="1">
      <alignment horizontal="center" vertical="center"/>
      <protection locked="0"/>
    </xf>
    <xf numFmtId="3" fontId="2" fillId="2" borderId="0" xfId="4" applyNumberFormat="1" applyFont="1" applyFill="1" applyAlignment="1" applyProtection="1">
      <alignment horizontal="center" vertical="center"/>
      <protection locked="0"/>
    </xf>
    <xf numFmtId="3" fontId="4" fillId="0" borderId="0" xfId="4" applyNumberFormat="1" applyFont="1" applyBorder="1" applyAlignment="1" applyProtection="1">
      <alignment vertical="center"/>
      <protection locked="0"/>
    </xf>
    <xf numFmtId="164" fontId="2" fillId="2" borderId="13" xfId="4" applyFont="1" applyFill="1" applyBorder="1" applyAlignment="1" applyProtection="1">
      <alignment vertical="center"/>
      <protection locked="0"/>
    </xf>
    <xf numFmtId="164" fontId="2" fillId="2" borderId="0" xfId="4" applyFont="1" applyFill="1" applyAlignment="1" applyProtection="1">
      <alignment vertical="center"/>
      <protection locked="0"/>
    </xf>
    <xf numFmtId="164" fontId="2" fillId="2" borderId="0" xfId="4" applyNumberFormat="1" applyFont="1" applyFill="1" applyAlignment="1" applyProtection="1">
      <alignment horizontal="right" vertical="center"/>
    </xf>
    <xf numFmtId="164" fontId="2" fillId="2" borderId="0" xfId="4" applyNumberFormat="1" applyFont="1" applyFill="1" applyAlignment="1" applyProtection="1">
      <alignment vertical="center"/>
    </xf>
    <xf numFmtId="3" fontId="2" fillId="2" borderId="0" xfId="4" applyNumberFormat="1" applyFont="1" applyFill="1" applyAlignment="1">
      <alignment vertical="center"/>
    </xf>
    <xf numFmtId="164" fontId="2" fillId="2" borderId="0" xfId="1" applyNumberFormat="1" applyFont="1" applyFill="1" applyAlignment="1" applyProtection="1">
      <alignment vertical="center"/>
    </xf>
    <xf numFmtId="164" fontId="2" fillId="2" borderId="0" xfId="4" applyNumberFormat="1" applyFont="1" applyFill="1" applyAlignment="1" applyProtection="1">
      <alignment horizontal="right" vertical="center"/>
      <protection locked="0"/>
    </xf>
    <xf numFmtId="164" fontId="2" fillId="0" borderId="0" xfId="4" applyFont="1" applyFill="1" applyAlignment="1" applyProtection="1">
      <alignment vertical="center"/>
      <protection locked="0"/>
    </xf>
    <xf numFmtId="164" fontId="2" fillId="0" borderId="0" xfId="4" applyNumberFormat="1" applyFont="1" applyFill="1" applyAlignment="1" applyProtection="1">
      <alignment horizontal="right" vertical="center"/>
      <protection locked="0"/>
    </xf>
    <xf numFmtId="164" fontId="2" fillId="0" borderId="0" xfId="4" applyNumberFormat="1" applyFont="1" applyFill="1" applyAlignment="1" applyProtection="1">
      <alignment vertical="center"/>
      <protection locked="0"/>
    </xf>
    <xf numFmtId="164" fontId="2" fillId="2" borderId="0" xfId="4" applyNumberFormat="1" applyFont="1" applyFill="1" applyAlignment="1" applyProtection="1">
      <alignment vertical="center"/>
      <protection locked="0"/>
    </xf>
    <xf numFmtId="164" fontId="2" fillId="0" borderId="0" xfId="4" applyFont="1" applyFill="1" applyAlignment="1" applyProtection="1">
      <alignment vertical="center" wrapText="1"/>
      <protection locked="0"/>
    </xf>
    <xf numFmtId="164" fontId="2" fillId="0" borderId="0" xfId="1" applyNumberFormat="1" applyFont="1" applyFill="1" applyAlignment="1" applyProtection="1">
      <alignment vertical="center"/>
      <protection locked="0"/>
    </xf>
    <xf numFmtId="164" fontId="2" fillId="2" borderId="0" xfId="1" applyNumberFormat="1" applyFont="1" applyFill="1" applyAlignment="1" applyProtection="1">
      <alignment vertical="center"/>
      <protection locked="0"/>
    </xf>
    <xf numFmtId="3" fontId="4" fillId="0" borderId="0" xfId="1" applyNumberFormat="1" applyFont="1" applyFill="1" applyBorder="1" applyAlignment="1" applyProtection="1">
      <alignment vertical="center"/>
      <protection locked="0"/>
    </xf>
    <xf numFmtId="1" fontId="2" fillId="2" borderId="0" xfId="1" applyNumberFormat="1" applyFont="1" applyFill="1" applyAlignment="1">
      <alignment vertical="center"/>
    </xf>
    <xf numFmtId="1" fontId="2" fillId="0" borderId="0" xfId="1" applyNumberFormat="1" applyFont="1" applyAlignment="1">
      <alignment vertical="center"/>
    </xf>
    <xf numFmtId="164" fontId="2" fillId="0" borderId="29" xfId="1" applyFont="1" applyBorder="1" applyAlignment="1">
      <alignment horizontal="center" vertical="center"/>
    </xf>
    <xf numFmtId="164" fontId="2" fillId="0" borderId="55" xfId="1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4" fontId="4" fillId="0" borderId="0" xfId="1" quotePrefix="1" applyNumberFormat="1" applyFont="1" applyFill="1" applyBorder="1" applyAlignment="1" applyProtection="1">
      <alignment horizontal="left" vertical="center"/>
    </xf>
    <xf numFmtId="164" fontId="2" fillId="2" borderId="3" xfId="1" applyFont="1" applyFill="1" applyBorder="1" applyAlignment="1" applyProtection="1">
      <alignment horizontal="center" vertical="center" wrapText="1"/>
      <protection locked="0"/>
    </xf>
    <xf numFmtId="164" fontId="2" fillId="2" borderId="4" xfId="1" applyFont="1" applyFill="1" applyBorder="1" applyAlignment="1" applyProtection="1">
      <alignment horizontal="center" vertical="center" wrapText="1"/>
      <protection locked="0"/>
    </xf>
    <xf numFmtId="169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169" fontId="2" fillId="2" borderId="54" xfId="1" applyNumberFormat="1" applyFont="1" applyFill="1" applyBorder="1" applyAlignment="1" applyProtection="1">
      <alignment horizontal="center" vertical="center" wrapText="1"/>
      <protection locked="0"/>
    </xf>
    <xf numFmtId="2" fontId="2" fillId="6" borderId="0" xfId="1" applyNumberFormat="1" applyFont="1" applyFill="1" applyBorder="1" applyAlignment="1">
      <alignment horizontal="center" vertical="center"/>
    </xf>
    <xf numFmtId="164" fontId="2" fillId="6" borderId="0" xfId="1" applyFont="1" applyFill="1" applyBorder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9" borderId="0" xfId="1" applyFont="1" applyFill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2" fillId="0" borderId="13" xfId="1" applyFont="1" applyBorder="1" applyAlignment="1">
      <alignment horizontal="center" vertical="center"/>
    </xf>
    <xf numFmtId="164" fontId="2" fillId="2" borderId="13" xfId="1" applyFont="1" applyFill="1" applyBorder="1" applyAlignment="1" applyProtection="1">
      <alignment horizontal="center" vertical="center"/>
      <protection locked="0"/>
    </xf>
    <xf numFmtId="164" fontId="4" fillId="0" borderId="15" xfId="1" applyNumberFormat="1" applyFont="1" applyBorder="1" applyAlignment="1" applyProtection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</xf>
    <xf numFmtId="164" fontId="4" fillId="0" borderId="17" xfId="1" applyNumberFormat="1" applyFont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center" vertical="center"/>
    </xf>
    <xf numFmtId="164" fontId="4" fillId="0" borderId="9" xfId="1" applyNumberFormat="1" applyFont="1" applyBorder="1" applyAlignment="1" applyProtection="1">
      <alignment horizontal="center" vertical="center"/>
    </xf>
    <xf numFmtId="164" fontId="2" fillId="0" borderId="0" xfId="1" applyFont="1" applyFill="1" applyAlignment="1">
      <alignment horizontal="center" vertical="center"/>
    </xf>
    <xf numFmtId="164" fontId="6" fillId="6" borderId="0" xfId="11" applyFont="1" applyFill="1" applyAlignment="1">
      <alignment horizontal="center" vertical="center"/>
    </xf>
    <xf numFmtId="164" fontId="6" fillId="2" borderId="47" xfId="11" applyFont="1" applyFill="1" applyBorder="1" applyAlignment="1" applyProtection="1">
      <alignment horizontal="center"/>
      <protection locked="0"/>
    </xf>
    <xf numFmtId="164" fontId="6" fillId="2" borderId="48" xfId="11" applyFont="1" applyFill="1" applyBorder="1" applyAlignment="1" applyProtection="1">
      <alignment horizontal="center"/>
      <protection locked="0"/>
    </xf>
    <xf numFmtId="164" fontId="6" fillId="2" borderId="0" xfId="11" applyFont="1" applyFill="1" applyBorder="1" applyAlignment="1" applyProtection="1">
      <alignment horizontal="center" vertical="center" wrapText="1"/>
      <protection locked="0"/>
    </xf>
    <xf numFmtId="164" fontId="6" fillId="2" borderId="39" xfId="11" applyFont="1" applyFill="1" applyBorder="1" applyAlignment="1" applyProtection="1">
      <alignment horizontal="center" vertical="center" wrapText="1"/>
      <protection locked="0"/>
    </xf>
    <xf numFmtId="164" fontId="6" fillId="0" borderId="0" xfId="11" applyFont="1" applyFill="1" applyBorder="1" applyAlignment="1">
      <alignment horizontal="center"/>
    </xf>
    <xf numFmtId="164" fontId="6" fillId="10" borderId="0" xfId="11" applyFont="1" applyFill="1" applyAlignment="1">
      <alignment horizontal="center"/>
    </xf>
    <xf numFmtId="0" fontId="0" fillId="2" borderId="0" xfId="7" applyFont="1" applyFill="1" applyAlignment="1">
      <alignment horizontal="center" vertical="center"/>
    </xf>
    <xf numFmtId="0" fontId="12" fillId="2" borderId="0" xfId="7" applyFill="1" applyAlignment="1">
      <alignment horizontal="center" vertical="center"/>
    </xf>
    <xf numFmtId="0" fontId="0" fillId="9" borderId="0" xfId="7" applyFont="1" applyFill="1" applyAlignment="1">
      <alignment horizontal="center" vertical="center"/>
    </xf>
    <xf numFmtId="0" fontId="12" fillId="9" borderId="0" xfId="7" applyFill="1" applyAlignment="1">
      <alignment horizontal="center" vertical="center"/>
    </xf>
    <xf numFmtId="0" fontId="0" fillId="0" borderId="13" xfId="7" applyFont="1" applyFill="1" applyBorder="1" applyAlignment="1">
      <alignment horizontal="center"/>
    </xf>
    <xf numFmtId="0" fontId="12" fillId="0" borderId="13" xfId="7" applyFill="1" applyBorder="1" applyAlignment="1">
      <alignment horizontal="center"/>
    </xf>
    <xf numFmtId="0" fontId="12" fillId="2" borderId="13" xfId="7" applyFill="1" applyBorder="1" applyAlignment="1" applyProtection="1">
      <alignment horizontal="center"/>
      <protection locked="0"/>
    </xf>
    <xf numFmtId="2" fontId="12" fillId="9" borderId="0" xfId="7" applyNumberFormat="1" applyFill="1" applyAlignment="1">
      <alignment horizontal="center" vertical="center"/>
    </xf>
    <xf numFmtId="2" fontId="12" fillId="0" borderId="14" xfId="7" applyNumberFormat="1" applyBorder="1" applyAlignment="1">
      <alignment horizontal="center"/>
    </xf>
    <xf numFmtId="2" fontId="12" fillId="0" borderId="20" xfId="7" applyNumberFormat="1" applyBorder="1" applyAlignment="1">
      <alignment horizontal="center"/>
    </xf>
    <xf numFmtId="0" fontId="12" fillId="0" borderId="0" xfId="7" applyAlignment="1">
      <alignment horizontal="center"/>
    </xf>
    <xf numFmtId="0" fontId="21" fillId="2" borderId="0" xfId="7" applyFont="1" applyFill="1" applyAlignment="1">
      <alignment horizontal="center"/>
    </xf>
    <xf numFmtId="0" fontId="14" fillId="0" borderId="0" xfId="7" applyFont="1" applyAlignment="1">
      <alignment horizontal="center"/>
    </xf>
    <xf numFmtId="0" fontId="0" fillId="9" borderId="12" xfId="7" applyFont="1" applyFill="1" applyBorder="1" applyAlignment="1">
      <alignment horizontal="center"/>
    </xf>
    <xf numFmtId="0" fontId="0" fillId="9" borderId="13" xfId="7" applyFont="1" applyFill="1" applyBorder="1" applyAlignment="1">
      <alignment horizontal="center"/>
    </xf>
    <xf numFmtId="0" fontId="0" fillId="9" borderId="15" xfId="7" applyFont="1" applyFill="1" applyBorder="1" applyAlignment="1">
      <alignment horizontal="center" vertical="center"/>
    </xf>
    <xf numFmtId="0" fontId="0" fillId="9" borderId="16" xfId="7" applyFont="1" applyFill="1" applyBorder="1" applyAlignment="1">
      <alignment horizontal="center" vertical="center"/>
    </xf>
    <xf numFmtId="0" fontId="0" fillId="9" borderId="30" xfId="7" applyFont="1" applyFill="1" applyBorder="1" applyAlignment="1">
      <alignment horizontal="center" vertical="center"/>
    </xf>
    <xf numFmtId="0" fontId="0" fillId="9" borderId="27" xfId="7" applyFont="1" applyFill="1" applyBorder="1" applyAlignment="1">
      <alignment horizontal="center" vertical="center"/>
    </xf>
    <xf numFmtId="0" fontId="0" fillId="9" borderId="18" xfId="7" applyFont="1" applyFill="1" applyBorder="1" applyAlignment="1">
      <alignment horizontal="center"/>
    </xf>
    <xf numFmtId="0" fontId="0" fillId="9" borderId="0" xfId="7" applyFont="1" applyFill="1" applyBorder="1" applyAlignment="1">
      <alignment horizontal="center"/>
    </xf>
    <xf numFmtId="0" fontId="22" fillId="9" borderId="18" xfId="7" applyFont="1" applyFill="1" applyBorder="1" applyAlignment="1">
      <alignment horizontal="center"/>
    </xf>
    <xf numFmtId="0" fontId="22" fillId="9" borderId="0" xfId="7" applyFont="1" applyFill="1" applyBorder="1" applyAlignment="1">
      <alignment horizontal="center"/>
    </xf>
    <xf numFmtId="0" fontId="22" fillId="9" borderId="7" xfId="7" applyFont="1" applyFill="1" applyBorder="1" applyAlignment="1">
      <alignment horizontal="center"/>
    </xf>
    <xf numFmtId="0" fontId="0" fillId="0" borderId="0" xfId="7" applyFont="1" applyAlignment="1">
      <alignment horizontal="center" vertical="center"/>
    </xf>
    <xf numFmtId="0" fontId="12" fillId="0" borderId="0" xfId="7" applyAlignment="1">
      <alignment horizontal="center" vertical="center"/>
    </xf>
    <xf numFmtId="0" fontId="13" fillId="0" borderId="0" xfId="7" applyFont="1" applyBorder="1" applyAlignment="1">
      <alignment horizontal="center"/>
    </xf>
    <xf numFmtId="0" fontId="13" fillId="0" borderId="0" xfId="7" applyFont="1" applyAlignment="1">
      <alignment horizontal="center"/>
    </xf>
    <xf numFmtId="0" fontId="0" fillId="0" borderId="0" xfId="7" applyFont="1" applyBorder="1" applyAlignment="1">
      <alignment horizontal="left"/>
    </xf>
    <xf numFmtId="0" fontId="0" fillId="2" borderId="13" xfId="7" applyFont="1" applyFill="1" applyBorder="1" applyAlignment="1" applyProtection="1">
      <alignment horizontal="center"/>
      <protection locked="0"/>
    </xf>
    <xf numFmtId="0" fontId="0" fillId="0" borderId="27" xfId="7" applyFont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0" fontId="12" fillId="0" borderId="13" xfId="7" applyBorder="1" applyAlignment="1">
      <alignment horizontal="center"/>
    </xf>
    <xf numFmtId="0" fontId="12" fillId="0" borderId="13" xfId="7" applyFont="1" applyBorder="1" applyAlignment="1">
      <alignment horizontal="center"/>
    </xf>
    <xf numFmtId="49" fontId="6" fillId="0" borderId="13" xfId="3" quotePrefix="1" applyNumberFormat="1" applyFont="1" applyFill="1" applyBorder="1" applyAlignment="1" applyProtection="1">
      <alignment horizontal="center"/>
    </xf>
    <xf numFmtId="164" fontId="6" fillId="0" borderId="13" xfId="3" applyFont="1" applyBorder="1" applyAlignment="1">
      <alignment horizontal="center"/>
    </xf>
    <xf numFmtId="0" fontId="23" fillId="2" borderId="0" xfId="7" applyFont="1" applyFill="1" applyBorder="1" applyAlignment="1">
      <alignment horizontal="center"/>
    </xf>
    <xf numFmtId="172" fontId="2" fillId="0" borderId="0" xfId="4" applyNumberFormat="1" applyFont="1" applyFill="1" applyAlignment="1" applyProtection="1">
      <alignment horizontal="left" vertical="center"/>
    </xf>
    <xf numFmtId="164" fontId="4" fillId="0" borderId="14" xfId="4" applyFont="1" applyBorder="1" applyAlignment="1">
      <alignment horizontal="center" vertical="center"/>
    </xf>
    <xf numFmtId="164" fontId="4" fillId="0" borderId="20" xfId="4" applyFont="1" applyBorder="1" applyAlignment="1">
      <alignment horizontal="center" vertical="center"/>
    </xf>
    <xf numFmtId="164" fontId="4" fillId="0" borderId="14" xfId="1" applyNumberFormat="1" applyFont="1" applyBorder="1" applyAlignment="1" applyProtection="1">
      <alignment horizontal="left" vertical="center"/>
    </xf>
    <xf numFmtId="164" fontId="4" fillId="0" borderId="21" xfId="1" applyNumberFormat="1" applyFont="1" applyBorder="1" applyAlignment="1" applyProtection="1">
      <alignment horizontal="left" vertical="center"/>
    </xf>
    <xf numFmtId="164" fontId="2" fillId="0" borderId="0" xfId="4" applyFont="1" applyFill="1" applyBorder="1" applyAlignment="1">
      <alignment horizontal="left" vertical="center" wrapText="1"/>
    </xf>
    <xf numFmtId="164" fontId="2" fillId="2" borderId="0" xfId="4" applyFont="1" applyFill="1" applyAlignment="1">
      <alignment horizontal="center" vertical="center"/>
    </xf>
    <xf numFmtId="164" fontId="2" fillId="0" borderId="23" xfId="4" applyFont="1" applyFill="1" applyBorder="1" applyAlignment="1">
      <alignment horizontal="left" vertical="center" wrapText="1"/>
    </xf>
    <xf numFmtId="3" fontId="2" fillId="2" borderId="0" xfId="4" applyNumberFormat="1" applyFont="1" applyFill="1" applyAlignment="1">
      <alignment horizontal="center" vertical="center"/>
    </xf>
  </cellXfs>
  <cellStyles count="12">
    <cellStyle name="Millares 2" xfId="2" xr:uid="{00000000-0005-0000-0000-000000000000}"/>
    <cellStyle name="Normal" xfId="0" builtinId="0"/>
    <cellStyle name="Normal 2" xfId="4" xr:uid="{00000000-0005-0000-0000-000002000000}"/>
    <cellStyle name="Normal 2 2" xfId="6" xr:uid="{00000000-0005-0000-0000-000003000000}"/>
    <cellStyle name="Normal 2 2 2" xfId="10" xr:uid="{00000000-0005-0000-0000-000004000000}"/>
    <cellStyle name="Normal 2 3" xfId="11" xr:uid="{00000000-0005-0000-0000-000005000000}"/>
    <cellStyle name="Normal 3" xfId="1" xr:uid="{00000000-0005-0000-0000-000006000000}"/>
    <cellStyle name="Normal 3 2" xfId="5" xr:uid="{00000000-0005-0000-0000-000007000000}"/>
    <cellStyle name="Normal 3 2 2" xfId="9" xr:uid="{00000000-0005-0000-0000-000008000000}"/>
    <cellStyle name="Normal 4 2" xfId="8" xr:uid="{00000000-0005-0000-0000-000009000000}"/>
    <cellStyle name="Normal 7" xfId="7" xr:uid="{00000000-0005-0000-0000-00000A000000}"/>
    <cellStyle name="Normal_Py7jmuñoz1" xfId="3" xr:uid="{00000000-0005-0000-0000-00000B000000}"/>
  </cellStyles>
  <dxfs count="0"/>
  <tableStyles count="0" defaultTableStyle="TableStyleMedium2" defaultPivotStyle="PivotStyleLight16"/>
  <colors>
    <mruColors>
      <color rgb="FF69E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may03\Agr&#237;cola%20Pachacama\Anteproyecto\Agricola%20Pachaca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an.moran/Desktop/Users/Administrador/Desktop/Trabajo/05may03/Agr&#237;cola%20Pachacama/Anteproyecto/Agricola%20Pachaca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bastian.moran/Desktop/05may03/Agr&#237;cola%20Pachacama/Anteproyecto/Agricola%20Pachacam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ANTEPROYECTO"/>
      <sheetName val="BASES"/>
      <sheetName val="BLOQUES"/>
      <sheetName val="PRESU solo red de riego"/>
      <sheetName val="PRESU con refuerzo cabezal"/>
      <sheetName val="PARTES"/>
      <sheetName val="FITTINGS PVC"/>
      <sheetName val="Fittings Caseta"/>
      <sheetName val="CPCC"/>
      <sheetName val="MATRIZ"/>
      <sheetName val="PROFORMA"/>
      <sheetName val="Cotización"/>
      <sheetName val="ARIETE"/>
      <sheetName val="IMPU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8">
          <cell r="E8" t="str">
            <v>Cantidad</v>
          </cell>
          <cell r="F8" t="str">
            <v>Descripción</v>
          </cell>
          <cell r="G8" t="str">
            <v>V. Unitario</v>
          </cell>
          <cell r="I8" t="str">
            <v>V. Unitario</v>
          </cell>
          <cell r="J8" t="str">
            <v>V. Total</v>
          </cell>
          <cell r="K8" t="str">
            <v>V. Total</v>
          </cell>
          <cell r="L8" t="str">
            <v>Hás=</v>
          </cell>
          <cell r="M8">
            <v>11.8</v>
          </cell>
        </row>
        <row r="9">
          <cell r="G9" t="str">
            <v xml:space="preserve">    $</v>
          </cell>
          <cell r="I9" t="str">
            <v xml:space="preserve"> US$</v>
          </cell>
          <cell r="J9" t="str">
            <v xml:space="preserve">    $</v>
          </cell>
          <cell r="K9" t="str">
            <v xml:space="preserve">   US$</v>
          </cell>
          <cell r="L9" t="str">
            <v>Tasa/C=</v>
          </cell>
          <cell r="M9">
            <v>711</v>
          </cell>
        </row>
        <row r="10">
          <cell r="F10" t="str">
            <v>TUBERÍAS</v>
          </cell>
          <cell r="G10" t="str">
            <v>Matriz=</v>
          </cell>
          <cell r="I10">
            <v>63.002542372881351</v>
          </cell>
          <cell r="J10" t="str">
            <v>S.Matriz=</v>
          </cell>
          <cell r="K10">
            <v>0</v>
          </cell>
          <cell r="L10" t="str">
            <v>Kg/há=</v>
          </cell>
          <cell r="M10">
            <v>63.002542372881351</v>
          </cell>
        </row>
        <row r="11">
          <cell r="E11" t="str">
            <v xml:space="preserve"> </v>
          </cell>
        </row>
        <row r="12">
          <cell r="E12">
            <v>0</v>
          </cell>
          <cell r="F12" t="str">
            <v>mts. PVC 125 mm Cl-16</v>
          </cell>
          <cell r="G12">
            <v>7259.2000000000007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42</v>
          </cell>
          <cell r="F13" t="str">
            <v>mts. PVC  32 mm Cl-10</v>
          </cell>
          <cell r="G13">
            <v>346</v>
          </cell>
          <cell r="I13">
            <v>0</v>
          </cell>
          <cell r="J13">
            <v>14532</v>
          </cell>
          <cell r="K13">
            <v>0</v>
          </cell>
        </row>
        <row r="14">
          <cell r="E14">
            <v>180</v>
          </cell>
          <cell r="F14" t="str">
            <v>mts. PVC  40 mm Cl-10</v>
          </cell>
          <cell r="G14">
            <v>479</v>
          </cell>
          <cell r="I14">
            <v>0</v>
          </cell>
          <cell r="J14">
            <v>86220</v>
          </cell>
          <cell r="K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F15" t="str">
            <v>mts. PVC  50 mm Cl-10</v>
          </cell>
          <cell r="G15">
            <v>724</v>
          </cell>
          <cell r="I15">
            <v>0</v>
          </cell>
          <cell r="J15">
            <v>0</v>
          </cell>
          <cell r="K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W15">
            <v>0.56000000000000005</v>
          </cell>
          <cell r="Y15">
            <v>0</v>
          </cell>
          <cell r="Z15">
            <v>0</v>
          </cell>
          <cell r="AB15">
            <v>1292.8571428571427</v>
          </cell>
        </row>
        <row r="16">
          <cell r="B16">
            <v>0</v>
          </cell>
          <cell r="C16">
            <v>0</v>
          </cell>
          <cell r="E16">
            <v>0</v>
          </cell>
          <cell r="F16" t="str">
            <v>mts. PVC  63 mm Cl-10</v>
          </cell>
          <cell r="G16">
            <v>1156</v>
          </cell>
          <cell r="I16">
            <v>0</v>
          </cell>
          <cell r="J16">
            <v>0</v>
          </cell>
          <cell r="K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W16">
            <v>0.87</v>
          </cell>
          <cell r="Y16">
            <v>0</v>
          </cell>
          <cell r="Z16">
            <v>0</v>
          </cell>
          <cell r="AB16">
            <v>1328.7356321839081</v>
          </cell>
        </row>
        <row r="17">
          <cell r="B17">
            <v>126</v>
          </cell>
          <cell r="C17">
            <v>0</v>
          </cell>
          <cell r="E17">
            <v>126</v>
          </cell>
          <cell r="F17" t="str">
            <v>mts. PVC  75 mm Cl-10</v>
          </cell>
          <cell r="G17">
            <v>1652</v>
          </cell>
          <cell r="I17">
            <v>0</v>
          </cell>
          <cell r="J17">
            <v>208152</v>
          </cell>
          <cell r="K17">
            <v>0</v>
          </cell>
          <cell r="O17">
            <v>126</v>
          </cell>
          <cell r="P17">
            <v>208152</v>
          </cell>
          <cell r="Q17">
            <v>0</v>
          </cell>
          <cell r="R17">
            <v>0</v>
          </cell>
          <cell r="W17">
            <v>1.25</v>
          </cell>
          <cell r="Y17">
            <v>157.5</v>
          </cell>
          <cell r="Z17">
            <v>0</v>
          </cell>
          <cell r="AB17">
            <v>1321.6</v>
          </cell>
        </row>
        <row r="18">
          <cell r="B18">
            <v>48</v>
          </cell>
          <cell r="C18">
            <v>0</v>
          </cell>
          <cell r="E18">
            <v>48</v>
          </cell>
          <cell r="F18" t="str">
            <v>mts. PVC  90 mm Cl-10</v>
          </cell>
          <cell r="G18">
            <v>2366</v>
          </cell>
          <cell r="I18">
            <v>0</v>
          </cell>
          <cell r="J18">
            <v>113568</v>
          </cell>
          <cell r="K18">
            <v>0</v>
          </cell>
          <cell r="O18">
            <v>48</v>
          </cell>
          <cell r="P18">
            <v>113568</v>
          </cell>
          <cell r="Q18">
            <v>0</v>
          </cell>
          <cell r="R18">
            <v>0</v>
          </cell>
          <cell r="W18">
            <v>1.79</v>
          </cell>
          <cell r="Y18">
            <v>85.92</v>
          </cell>
          <cell r="Z18">
            <v>0</v>
          </cell>
          <cell r="AB18">
            <v>1321.7877094972066</v>
          </cell>
        </row>
        <row r="19">
          <cell r="B19">
            <v>156</v>
          </cell>
          <cell r="C19">
            <v>0</v>
          </cell>
          <cell r="E19">
            <v>156</v>
          </cell>
          <cell r="F19" t="str">
            <v>mts. PVC  40 mm Cl-6</v>
          </cell>
          <cell r="G19">
            <v>438</v>
          </cell>
          <cell r="I19">
            <v>0</v>
          </cell>
          <cell r="J19">
            <v>68328</v>
          </cell>
          <cell r="K19">
            <v>0</v>
          </cell>
          <cell r="O19">
            <v>156</v>
          </cell>
          <cell r="P19">
            <v>68328</v>
          </cell>
          <cell r="Q19">
            <v>0</v>
          </cell>
          <cell r="R19">
            <v>0</v>
          </cell>
          <cell r="W19">
            <v>0.33</v>
          </cell>
          <cell r="Y19">
            <v>51.480000000000004</v>
          </cell>
          <cell r="Z19">
            <v>0</v>
          </cell>
          <cell r="AB19">
            <v>1327.2727272727273</v>
          </cell>
        </row>
        <row r="20">
          <cell r="B20">
            <v>36</v>
          </cell>
          <cell r="C20">
            <v>0</v>
          </cell>
          <cell r="E20">
            <v>36</v>
          </cell>
          <cell r="F20" t="str">
            <v>mts. PVC  50 mm Cl-6</v>
          </cell>
          <cell r="G20">
            <v>554</v>
          </cell>
          <cell r="I20">
            <v>0</v>
          </cell>
          <cell r="J20">
            <v>19944</v>
          </cell>
          <cell r="K20">
            <v>0</v>
          </cell>
          <cell r="O20">
            <v>36</v>
          </cell>
          <cell r="P20">
            <v>19944</v>
          </cell>
          <cell r="Q20">
            <v>0</v>
          </cell>
          <cell r="R20">
            <v>0</v>
          </cell>
          <cell r="W20">
            <v>0.42</v>
          </cell>
          <cell r="Y20">
            <v>15.12</v>
          </cell>
          <cell r="Z20">
            <v>0</v>
          </cell>
          <cell r="AB20">
            <v>1319.047619047619</v>
          </cell>
        </row>
        <row r="21">
          <cell r="B21">
            <v>216</v>
          </cell>
          <cell r="C21">
            <v>0</v>
          </cell>
          <cell r="E21">
            <v>216</v>
          </cell>
          <cell r="F21" t="str">
            <v>mts. PVC  63 mm Cl-6</v>
          </cell>
          <cell r="G21">
            <v>761</v>
          </cell>
          <cell r="I21">
            <v>0</v>
          </cell>
          <cell r="J21">
            <v>164376</v>
          </cell>
          <cell r="K21">
            <v>0</v>
          </cell>
          <cell r="O21">
            <v>216</v>
          </cell>
          <cell r="P21">
            <v>164376</v>
          </cell>
          <cell r="Q21">
            <v>0</v>
          </cell>
          <cell r="R21">
            <v>0</v>
          </cell>
          <cell r="W21">
            <v>0.56000000000000005</v>
          </cell>
          <cell r="Y21">
            <v>120.96000000000001</v>
          </cell>
          <cell r="Z21">
            <v>0</v>
          </cell>
          <cell r="AB21">
            <v>1358.9285714285713</v>
          </cell>
        </row>
        <row r="22">
          <cell r="B22">
            <v>45</v>
          </cell>
          <cell r="C22">
            <v>0</v>
          </cell>
          <cell r="E22">
            <v>48</v>
          </cell>
          <cell r="F22" t="str">
            <v>mts. PVC  75 mm Cl-6</v>
          </cell>
          <cell r="G22">
            <v>1059</v>
          </cell>
          <cell r="I22">
            <v>0</v>
          </cell>
          <cell r="J22">
            <v>50832</v>
          </cell>
          <cell r="K22">
            <v>0</v>
          </cell>
          <cell r="O22">
            <v>48</v>
          </cell>
          <cell r="P22">
            <v>50832</v>
          </cell>
          <cell r="Q22">
            <v>0</v>
          </cell>
          <cell r="R22">
            <v>0</v>
          </cell>
          <cell r="W22">
            <v>0.77</v>
          </cell>
          <cell r="Y22">
            <v>34.65</v>
          </cell>
          <cell r="Z22">
            <v>0</v>
          </cell>
          <cell r="AB22">
            <v>1375.3246753246754</v>
          </cell>
        </row>
        <row r="23">
          <cell r="B23">
            <v>66</v>
          </cell>
          <cell r="C23">
            <v>0</v>
          </cell>
          <cell r="E23">
            <v>66</v>
          </cell>
          <cell r="F23" t="str">
            <v>mts. PVC  90 mm Cl-6</v>
          </cell>
          <cell r="G23">
            <v>1531</v>
          </cell>
          <cell r="I23">
            <v>0</v>
          </cell>
          <cell r="J23">
            <v>101046</v>
          </cell>
          <cell r="K23">
            <v>0</v>
          </cell>
          <cell r="O23">
            <v>66</v>
          </cell>
          <cell r="P23">
            <v>101046</v>
          </cell>
          <cell r="Q23">
            <v>0</v>
          </cell>
          <cell r="R23">
            <v>0</v>
          </cell>
          <cell r="W23">
            <v>1.1200000000000001</v>
          </cell>
          <cell r="Y23">
            <v>73.92</v>
          </cell>
          <cell r="Z23">
            <v>0</v>
          </cell>
          <cell r="AB23">
            <v>1366.9642857142856</v>
          </cell>
        </row>
        <row r="24">
          <cell r="B24">
            <v>78</v>
          </cell>
          <cell r="C24">
            <v>0</v>
          </cell>
          <cell r="E24">
            <v>78</v>
          </cell>
          <cell r="F24" t="str">
            <v>mts. PVC 110 mm Cl-6</v>
          </cell>
          <cell r="G24">
            <v>2226</v>
          </cell>
          <cell r="I24">
            <v>0</v>
          </cell>
          <cell r="J24">
            <v>173628</v>
          </cell>
          <cell r="K24">
            <v>0</v>
          </cell>
          <cell r="O24">
            <v>78</v>
          </cell>
          <cell r="P24">
            <v>173628</v>
          </cell>
          <cell r="Q24">
            <v>0</v>
          </cell>
          <cell r="R24">
            <v>0</v>
          </cell>
          <cell r="W24">
            <v>1.62</v>
          </cell>
          <cell r="Y24">
            <v>126.36000000000001</v>
          </cell>
          <cell r="Z24">
            <v>0</v>
          </cell>
          <cell r="AB24">
            <v>1374.0740740740739</v>
          </cell>
        </row>
        <row r="25">
          <cell r="B25">
            <v>0</v>
          </cell>
          <cell r="C25">
            <v>0</v>
          </cell>
          <cell r="E25">
            <v>0</v>
          </cell>
          <cell r="F25" t="str">
            <v>mts. PVC 125 mm Cl-6</v>
          </cell>
          <cell r="G25">
            <v>2893</v>
          </cell>
          <cell r="I25">
            <v>0</v>
          </cell>
          <cell r="J25">
            <v>0</v>
          </cell>
          <cell r="K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W25">
            <v>2.29</v>
          </cell>
          <cell r="Y25">
            <v>0</v>
          </cell>
          <cell r="Z25">
            <v>0</v>
          </cell>
          <cell r="AB25">
            <v>1263.3187772925764</v>
          </cell>
        </row>
        <row r="26">
          <cell r="B26">
            <v>0</v>
          </cell>
          <cell r="C26">
            <v>0</v>
          </cell>
          <cell r="E26">
            <v>0</v>
          </cell>
          <cell r="F26" t="str">
            <v>mts. PVC 140 mm Cl-6</v>
          </cell>
          <cell r="G26">
            <v>3609</v>
          </cell>
          <cell r="I26">
            <v>0</v>
          </cell>
          <cell r="J26">
            <v>0</v>
          </cell>
          <cell r="K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W26">
            <v>2.62</v>
          </cell>
          <cell r="Y26">
            <v>0</v>
          </cell>
          <cell r="Z26">
            <v>0</v>
          </cell>
          <cell r="AB26">
            <v>1377.4809160305342</v>
          </cell>
        </row>
        <row r="27">
          <cell r="B27">
            <v>0</v>
          </cell>
          <cell r="C27">
            <v>0</v>
          </cell>
          <cell r="E27">
            <v>0</v>
          </cell>
          <cell r="F27" t="str">
            <v>mts. PVC  75 mm Cl-4</v>
          </cell>
          <cell r="G27">
            <v>870</v>
          </cell>
          <cell r="I27">
            <v>0</v>
          </cell>
          <cell r="J27">
            <v>0</v>
          </cell>
          <cell r="K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W27">
            <v>0.64</v>
          </cell>
          <cell r="Y27">
            <v>0</v>
          </cell>
          <cell r="Z27">
            <v>0</v>
          </cell>
          <cell r="AB27">
            <v>1359.375</v>
          </cell>
        </row>
        <row r="28">
          <cell r="B28">
            <v>0</v>
          </cell>
          <cell r="C28">
            <v>0</v>
          </cell>
          <cell r="E28">
            <v>0</v>
          </cell>
          <cell r="F28" t="str">
            <v>mts. PVC  90 mm Cl-4</v>
          </cell>
          <cell r="G28">
            <v>1049</v>
          </cell>
          <cell r="I28">
            <v>0</v>
          </cell>
          <cell r="J28">
            <v>0</v>
          </cell>
          <cell r="K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W28">
            <v>0.97</v>
          </cell>
          <cell r="Y28">
            <v>0</v>
          </cell>
          <cell r="Z28">
            <v>0</v>
          </cell>
          <cell r="AB28">
            <v>1081.4432989690722</v>
          </cell>
        </row>
        <row r="29">
          <cell r="B29">
            <v>0</v>
          </cell>
          <cell r="C29">
            <v>0</v>
          </cell>
          <cell r="E29">
            <v>0</v>
          </cell>
          <cell r="F29" t="str">
            <v>mts. PVC 110 mm Cl-4</v>
          </cell>
          <cell r="G29">
            <v>1573</v>
          </cell>
          <cell r="I29">
            <v>0</v>
          </cell>
          <cell r="J29">
            <v>0</v>
          </cell>
          <cell r="K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W29">
            <v>1.1399999999999999</v>
          </cell>
          <cell r="Y29">
            <v>0</v>
          </cell>
          <cell r="Z29">
            <v>0</v>
          </cell>
          <cell r="AB29">
            <v>1379.8245614035088</v>
          </cell>
        </row>
        <row r="30">
          <cell r="B30">
            <v>0</v>
          </cell>
          <cell r="C30">
            <v>0</v>
          </cell>
          <cell r="E30">
            <v>0</v>
          </cell>
          <cell r="F30" t="str">
            <v>mts. PVC 125 mm Cl-4</v>
          </cell>
          <cell r="G30">
            <v>2009</v>
          </cell>
          <cell r="I30">
            <v>0</v>
          </cell>
          <cell r="J30">
            <v>0</v>
          </cell>
          <cell r="K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W30">
            <v>1.6</v>
          </cell>
          <cell r="Y30">
            <v>0</v>
          </cell>
          <cell r="Z30">
            <v>0</v>
          </cell>
          <cell r="AB30">
            <v>1255.625</v>
          </cell>
        </row>
        <row r="31">
          <cell r="B31">
            <v>0</v>
          </cell>
          <cell r="C31">
            <v>0</v>
          </cell>
          <cell r="E31">
            <v>0</v>
          </cell>
          <cell r="F31" t="str">
            <v>mts. PVC 140 mm Cl-4</v>
          </cell>
          <cell r="G31">
            <v>2499</v>
          </cell>
          <cell r="I31">
            <v>0</v>
          </cell>
          <cell r="J31">
            <v>0</v>
          </cell>
          <cell r="K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W31">
            <v>1.84</v>
          </cell>
          <cell r="Y31">
            <v>0</v>
          </cell>
          <cell r="Z31">
            <v>0</v>
          </cell>
          <cell r="AB31">
            <v>1358.1521739130435</v>
          </cell>
        </row>
        <row r="32">
          <cell r="B32">
            <v>0</v>
          </cell>
          <cell r="C32">
            <v>0</v>
          </cell>
          <cell r="E32">
            <v>0</v>
          </cell>
          <cell r="F32" t="str">
            <v>mts. Conduit  III 20 mm</v>
          </cell>
          <cell r="G32">
            <v>172</v>
          </cell>
          <cell r="I32">
            <v>0</v>
          </cell>
          <cell r="J32">
            <v>0</v>
          </cell>
          <cell r="K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W32">
            <v>0.14000000000000001</v>
          </cell>
          <cell r="Y32">
            <v>0</v>
          </cell>
          <cell r="Z32">
            <v>0</v>
          </cell>
          <cell r="AB32">
            <v>1228.5714285714284</v>
          </cell>
        </row>
        <row r="33">
          <cell r="B33">
            <v>0</v>
          </cell>
          <cell r="C33">
            <v>0</v>
          </cell>
          <cell r="E33">
            <v>0</v>
          </cell>
          <cell r="F33" t="str">
            <v>mts. Conduit  III 25 mm</v>
          </cell>
          <cell r="G33">
            <v>218</v>
          </cell>
          <cell r="I33">
            <v>0</v>
          </cell>
          <cell r="J33">
            <v>0</v>
          </cell>
          <cell r="K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W33">
            <v>0.14000000000000001</v>
          </cell>
          <cell r="Y33">
            <v>0</v>
          </cell>
          <cell r="Z33">
            <v>0</v>
          </cell>
          <cell r="AB33">
            <v>1557.1428571428569</v>
          </cell>
        </row>
        <row r="34">
          <cell r="B34">
            <v>0</v>
          </cell>
          <cell r="C34">
            <v>0</v>
          </cell>
          <cell r="E34">
            <v>0</v>
          </cell>
          <cell r="F34" t="str">
            <v>mts. Conduit  III 32 mm</v>
          </cell>
          <cell r="G34">
            <v>330</v>
          </cell>
          <cell r="I34">
            <v>0</v>
          </cell>
          <cell r="J34">
            <v>0</v>
          </cell>
          <cell r="K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W34">
            <v>0.14000000000000001</v>
          </cell>
          <cell r="Y34">
            <v>0</v>
          </cell>
          <cell r="Z34">
            <v>0</v>
          </cell>
          <cell r="AB34">
            <v>2357.1428571428569</v>
          </cell>
        </row>
        <row r="36">
          <cell r="E36" t="str">
            <v>Gl</v>
          </cell>
          <cell r="F36" t="str">
            <v>Costo/HA Matrices ==&gt;</v>
          </cell>
          <cell r="G36">
            <v>0</v>
          </cell>
          <cell r="I36">
            <v>0</v>
          </cell>
          <cell r="J36">
            <v>0</v>
          </cell>
          <cell r="K36" t="str">
            <v>----</v>
          </cell>
          <cell r="L36" t="str">
            <v>Matriz:</v>
          </cell>
          <cell r="M36">
            <v>119.26696703139525</v>
          </cell>
        </row>
        <row r="37">
          <cell r="E37" t="str">
            <v>Gl</v>
          </cell>
          <cell r="F37" t="str">
            <v>Costo/HA Submatrices ==&gt;</v>
          </cell>
          <cell r="G37">
            <v>79755.94530321045</v>
          </cell>
          <cell r="I37">
            <v>0</v>
          </cell>
          <cell r="J37">
            <v>941120.15457788343</v>
          </cell>
          <cell r="K37" t="str">
            <v>----</v>
          </cell>
          <cell r="L37" t="str">
            <v>S.Matriz:</v>
          </cell>
          <cell r="M37">
            <v>112.17432532097111</v>
          </cell>
        </row>
        <row r="39">
          <cell r="E39" t="str">
            <v>Gl</v>
          </cell>
          <cell r="F39" t="str">
            <v xml:space="preserve">Fitting Tubería:    Cl4-20%  Cl6-15% </v>
          </cell>
          <cell r="G39" t="str">
            <v>% de PVC</v>
          </cell>
          <cell r="I39">
            <v>20</v>
          </cell>
          <cell r="J39">
            <v>388349.23091557669</v>
          </cell>
          <cell r="K39">
            <v>0</v>
          </cell>
          <cell r="L39" t="str">
            <v>Fittings:</v>
          </cell>
          <cell r="M39">
            <v>46.288258470473274</v>
          </cell>
        </row>
        <row r="41">
          <cell r="F41" t="str">
            <v>SUBTOTAL TUBERÍAS</v>
          </cell>
          <cell r="J41">
            <v>2330095.3854934601</v>
          </cell>
          <cell r="K41">
            <v>0</v>
          </cell>
          <cell r="L41" t="str">
            <v>U$/há</v>
          </cell>
          <cell r="M41">
            <v>277.72955082283966</v>
          </cell>
        </row>
        <row r="42">
          <cell r="F42" t="str">
            <v>LATERALES</v>
          </cell>
        </row>
        <row r="43">
          <cell r="M43" t="str">
            <v xml:space="preserve"> </v>
          </cell>
        </row>
        <row r="44">
          <cell r="E44">
            <v>17194.285714285717</v>
          </cell>
          <cell r="F44" t="str">
            <v>mts. Tubería PE liso 16 mm e = 0,9 mm (1635)</v>
          </cell>
          <cell r="G44">
            <v>55</v>
          </cell>
          <cell r="I44">
            <v>0</v>
          </cell>
          <cell r="J44">
            <v>945685.71428571444</v>
          </cell>
          <cell r="K44">
            <v>0</v>
          </cell>
        </row>
        <row r="45">
          <cell r="M45" t="str">
            <v xml:space="preserve"> </v>
          </cell>
        </row>
        <row r="46">
          <cell r="E46">
            <v>4912.6530612244915</v>
          </cell>
          <cell r="F46" t="str">
            <v>Gotero 4 l/h, PC-Junior, Netafim con 50 cm microtubo flexible y copla</v>
          </cell>
          <cell r="G46">
            <v>97.142857142857153</v>
          </cell>
          <cell r="I46">
            <v>0.155</v>
          </cell>
          <cell r="J46">
            <v>477229.15451895067</v>
          </cell>
          <cell r="K46">
            <v>761.46122448979622</v>
          </cell>
        </row>
        <row r="48">
          <cell r="E48">
            <v>0</v>
          </cell>
          <cell r="F48" t="str">
            <v>Microaspersor 28 l/h, modelo 2001, boquilla , Dan sin deflector (Israel)</v>
          </cell>
          <cell r="G48">
            <v>0</v>
          </cell>
          <cell r="I48">
            <v>1.17</v>
          </cell>
          <cell r="J48">
            <v>0</v>
          </cell>
          <cell r="K48">
            <v>0</v>
          </cell>
        </row>
        <row r="50">
          <cell r="E50">
            <v>550</v>
          </cell>
          <cell r="F50" t="str">
            <v>Conexión 16 mm para PVC &gt;32mm</v>
          </cell>
          <cell r="G50">
            <v>218</v>
          </cell>
          <cell r="I50">
            <v>0</v>
          </cell>
          <cell r="J50">
            <v>119900</v>
          </cell>
          <cell r="K50">
            <v>0</v>
          </cell>
        </row>
        <row r="52">
          <cell r="F52" t="str">
            <v>SUBTOTAL LATERALES</v>
          </cell>
          <cell r="J52">
            <v>1542814.868804665</v>
          </cell>
          <cell r="K52">
            <v>761.46122448979622</v>
          </cell>
          <cell r="L52" t="str">
            <v>U$/Ha=</v>
          </cell>
          <cell r="M52">
            <v>248.42234611276908</v>
          </cell>
        </row>
        <row r="53">
          <cell r="F53" t="str">
            <v>ELEMENTOS DE PROTECCIÓN Y CONTROL</v>
          </cell>
        </row>
        <row r="55">
          <cell r="E55">
            <v>0</v>
          </cell>
          <cell r="F55" t="str">
            <v>Válvula Eléctrica 3" Repco Aluminio c/RF</v>
          </cell>
          <cell r="G55">
            <v>109935</v>
          </cell>
          <cell r="I55">
            <v>0</v>
          </cell>
          <cell r="J55">
            <v>0</v>
          </cell>
          <cell r="K55">
            <v>0</v>
          </cell>
        </row>
        <row r="56">
          <cell r="E56">
            <v>5</v>
          </cell>
          <cell r="F56" t="str">
            <v>Válvula Eléctrica 2" c/RF Baccara</v>
          </cell>
          <cell r="G56">
            <v>44769</v>
          </cell>
          <cell r="I56">
            <v>0</v>
          </cell>
          <cell r="J56">
            <v>223845</v>
          </cell>
          <cell r="K56">
            <v>0</v>
          </cell>
        </row>
        <row r="57">
          <cell r="E57">
            <v>14</v>
          </cell>
          <cell r="F57" t="str">
            <v>Válvula Eléctrica 1 1/2" c/RF Baccara</v>
          </cell>
          <cell r="G57">
            <v>38329.5</v>
          </cell>
          <cell r="I57">
            <v>0</v>
          </cell>
          <cell r="J57">
            <v>536613</v>
          </cell>
          <cell r="K57">
            <v>0</v>
          </cell>
        </row>
        <row r="58">
          <cell r="E58">
            <v>10</v>
          </cell>
          <cell r="F58" t="str">
            <v>Válvula Eléctrica 1" Hunter PGV 101-G con RF</v>
          </cell>
          <cell r="G58">
            <v>14357</v>
          </cell>
          <cell r="I58">
            <v>0</v>
          </cell>
          <cell r="J58">
            <v>143570</v>
          </cell>
          <cell r="K58">
            <v>0</v>
          </cell>
        </row>
        <row r="60">
          <cell r="E60">
            <v>0</v>
          </cell>
          <cell r="F60" t="str">
            <v>Válvula de Bola Bronce 3"</v>
          </cell>
          <cell r="G60">
            <v>30337.64235149277</v>
          </cell>
          <cell r="I60">
            <v>0</v>
          </cell>
          <cell r="J60">
            <v>0</v>
          </cell>
          <cell r="K60">
            <v>0</v>
          </cell>
        </row>
        <row r="61">
          <cell r="E61">
            <v>0</v>
          </cell>
          <cell r="F61" t="str">
            <v>Válvula de Bola Bronce 2 1/2"</v>
          </cell>
          <cell r="G61">
            <v>22488.765774084335</v>
          </cell>
          <cell r="I61">
            <v>0</v>
          </cell>
          <cell r="J61">
            <v>0</v>
          </cell>
          <cell r="K61">
            <v>0</v>
          </cell>
        </row>
        <row r="62">
          <cell r="E62">
            <v>0</v>
          </cell>
          <cell r="F62" t="str">
            <v>Válvula de Bola Bronce 2"</v>
          </cell>
          <cell r="G62">
            <v>10089.566020313941</v>
          </cell>
          <cell r="I62">
            <v>0</v>
          </cell>
          <cell r="J62">
            <v>0</v>
          </cell>
          <cell r="K62">
            <v>0</v>
          </cell>
        </row>
        <row r="63">
          <cell r="E63">
            <v>0</v>
          </cell>
          <cell r="F63" t="str">
            <v>Válvula de Bola Bronce 1 1/2"</v>
          </cell>
          <cell r="G63">
            <v>6502.3084025854105</v>
          </cell>
          <cell r="I63">
            <v>0</v>
          </cell>
          <cell r="J63">
            <v>0</v>
          </cell>
          <cell r="K63">
            <v>0</v>
          </cell>
        </row>
        <row r="64">
          <cell r="E64">
            <v>0</v>
          </cell>
          <cell r="F64" t="str">
            <v>Válvula de Bola Bronce 1 1/4"</v>
          </cell>
          <cell r="G64">
            <v>4731.3019390581712</v>
          </cell>
          <cell r="I64">
            <v>0</v>
          </cell>
          <cell r="J64">
            <v>0</v>
          </cell>
          <cell r="K64">
            <v>0</v>
          </cell>
        </row>
        <row r="65">
          <cell r="E65">
            <v>0</v>
          </cell>
          <cell r="F65" t="str">
            <v>Válvula de Bola Bronce 1"</v>
          </cell>
          <cell r="G65">
            <v>2690.9818405663282</v>
          </cell>
          <cell r="I65">
            <v>0</v>
          </cell>
          <cell r="J65">
            <v>0</v>
          </cell>
          <cell r="K65">
            <v>0</v>
          </cell>
        </row>
        <row r="66">
          <cell r="E66">
            <v>0</v>
          </cell>
          <cell r="F66" t="str">
            <v>Válvula de Bola Bronce 3/4"</v>
          </cell>
          <cell r="G66">
            <v>1676.208064019698</v>
          </cell>
          <cell r="I66">
            <v>0</v>
          </cell>
          <cell r="J66">
            <v>0</v>
          </cell>
          <cell r="K66">
            <v>0</v>
          </cell>
        </row>
        <row r="67">
          <cell r="E67">
            <v>0</v>
          </cell>
          <cell r="F67" t="str">
            <v>Válvula de Bola Bronce 1/2"</v>
          </cell>
          <cell r="G67">
            <v>1141.8898122499229</v>
          </cell>
          <cell r="I67">
            <v>0</v>
          </cell>
          <cell r="J67">
            <v>0</v>
          </cell>
          <cell r="K67">
            <v>0</v>
          </cell>
        </row>
        <row r="69">
          <cell r="E69">
            <v>0</v>
          </cell>
          <cell r="F69" t="str">
            <v>Válvula de regulación 3"</v>
          </cell>
          <cell r="G69">
            <v>30337.64235149277</v>
          </cell>
          <cell r="I69">
            <v>0</v>
          </cell>
          <cell r="J69">
            <v>0</v>
          </cell>
          <cell r="K69">
            <v>0</v>
          </cell>
        </row>
        <row r="70">
          <cell r="E70">
            <v>0</v>
          </cell>
          <cell r="F70" t="str">
            <v>Válvula de regulación 2 1/2"</v>
          </cell>
          <cell r="G70">
            <v>22488.765774084335</v>
          </cell>
          <cell r="I70">
            <v>0</v>
          </cell>
          <cell r="J70">
            <v>0</v>
          </cell>
          <cell r="K70">
            <v>0</v>
          </cell>
        </row>
        <row r="71">
          <cell r="E71">
            <v>0</v>
          </cell>
          <cell r="F71" t="str">
            <v>Válvula de regulación 2"</v>
          </cell>
          <cell r="G71">
            <v>10089.566020313941</v>
          </cell>
          <cell r="I71">
            <v>0</v>
          </cell>
          <cell r="J71">
            <v>0</v>
          </cell>
          <cell r="K71">
            <v>0</v>
          </cell>
        </row>
        <row r="72">
          <cell r="E72">
            <v>0</v>
          </cell>
          <cell r="F72" t="str">
            <v>Válvula de regulación 1 1/2"</v>
          </cell>
          <cell r="G72">
            <v>6502.3084025854105</v>
          </cell>
          <cell r="I72">
            <v>0</v>
          </cell>
          <cell r="J72">
            <v>0</v>
          </cell>
          <cell r="K72">
            <v>0</v>
          </cell>
        </row>
        <row r="73">
          <cell r="E73">
            <v>0</v>
          </cell>
          <cell r="F73" t="str">
            <v>Válvula de regulación 1 1/4"</v>
          </cell>
          <cell r="G73">
            <v>4731.3019390581712</v>
          </cell>
          <cell r="I73">
            <v>0</v>
          </cell>
          <cell r="J73">
            <v>0</v>
          </cell>
          <cell r="K73">
            <v>0</v>
          </cell>
        </row>
        <row r="74">
          <cell r="E74">
            <v>0</v>
          </cell>
          <cell r="F74" t="str">
            <v>Válvula de regulación 1"</v>
          </cell>
          <cell r="G74">
            <v>2690.9818405663282</v>
          </cell>
          <cell r="I74">
            <v>0</v>
          </cell>
          <cell r="J74">
            <v>0</v>
          </cell>
          <cell r="K74">
            <v>0</v>
          </cell>
        </row>
        <row r="75">
          <cell r="E75">
            <v>0</v>
          </cell>
          <cell r="F75" t="str">
            <v>Válvula de regulación 3/4"</v>
          </cell>
          <cell r="G75">
            <v>1676.208064019698</v>
          </cell>
          <cell r="I75">
            <v>0</v>
          </cell>
          <cell r="J75">
            <v>0</v>
          </cell>
          <cell r="K75">
            <v>0</v>
          </cell>
        </row>
        <row r="76">
          <cell r="E76">
            <v>0</v>
          </cell>
          <cell r="F76" t="str">
            <v>Válvula de regulación 1/2"</v>
          </cell>
          <cell r="G76">
            <v>1141.8898122499229</v>
          </cell>
          <cell r="I76">
            <v>0</v>
          </cell>
          <cell r="J76">
            <v>0</v>
          </cell>
          <cell r="K76">
            <v>0</v>
          </cell>
        </row>
        <row r="78">
          <cell r="E78">
            <v>29</v>
          </cell>
          <cell r="F78" t="str">
            <v>Válvula control presión</v>
          </cell>
          <cell r="G78">
            <v>1385</v>
          </cell>
          <cell r="I78">
            <v>0</v>
          </cell>
          <cell r="J78">
            <v>40165</v>
          </cell>
          <cell r="K78">
            <v>0</v>
          </cell>
        </row>
        <row r="79">
          <cell r="E79">
            <v>0</v>
          </cell>
          <cell r="F79" t="str">
            <v>Válvula antivacío 2" Unirain</v>
          </cell>
          <cell r="G79">
            <v>21032.2</v>
          </cell>
          <cell r="I79">
            <v>0</v>
          </cell>
          <cell r="J79">
            <v>0</v>
          </cell>
          <cell r="K79">
            <v>0</v>
          </cell>
        </row>
        <row r="80">
          <cell r="E80">
            <v>0</v>
          </cell>
          <cell r="F80" t="str">
            <v>Válvula antivacío 1 1/2"</v>
          </cell>
          <cell r="G80">
            <v>12353</v>
          </cell>
          <cell r="I80">
            <v>0</v>
          </cell>
          <cell r="J80">
            <v>0</v>
          </cell>
          <cell r="K80">
            <v>0</v>
          </cell>
        </row>
        <row r="81">
          <cell r="E81">
            <v>8</v>
          </cell>
          <cell r="F81" t="str">
            <v>Válvula antivacío 1"</v>
          </cell>
          <cell r="G81">
            <v>9735</v>
          </cell>
          <cell r="I81">
            <v>0</v>
          </cell>
          <cell r="J81">
            <v>77880</v>
          </cell>
          <cell r="K81">
            <v>0</v>
          </cell>
        </row>
        <row r="82">
          <cell r="E82">
            <v>29</v>
          </cell>
          <cell r="F82" t="str">
            <v>Válvula antivacío 1/2"</v>
          </cell>
          <cell r="G82">
            <v>3770</v>
          </cell>
          <cell r="I82">
            <v>0</v>
          </cell>
          <cell r="J82">
            <v>109330</v>
          </cell>
          <cell r="K82">
            <v>0</v>
          </cell>
        </row>
        <row r="84">
          <cell r="F84" t="str">
            <v>SUBTOTAL ELEMENTOS DE PROTECCIÓN Y CONTROL</v>
          </cell>
          <cell r="J84">
            <v>1131403</v>
          </cell>
          <cell r="K84">
            <v>0</v>
          </cell>
          <cell r="L84" t="str">
            <v>U$/Ha=</v>
          </cell>
          <cell r="M84">
            <v>134.85458532980525</v>
          </cell>
        </row>
        <row r="86">
          <cell r="E86" t="str">
            <v>Cantidad</v>
          </cell>
          <cell r="F86" t="str">
            <v>Descripción</v>
          </cell>
          <cell r="G86" t="str">
            <v>V. Unitario $</v>
          </cell>
          <cell r="I86" t="str">
            <v>V. Unitario U$</v>
          </cell>
          <cell r="J86" t="str">
            <v>V. Total $</v>
          </cell>
          <cell r="K86" t="str">
            <v>V. Total U$</v>
          </cell>
        </row>
        <row r="87">
          <cell r="F87" t="str">
            <v>CASETA</v>
          </cell>
        </row>
        <row r="89">
          <cell r="E89">
            <v>0</v>
          </cell>
          <cell r="F89" t="str">
            <v>Bomba VOGT N 629 d=200 mm FMS (Nacional) con motor 15 Hp.  H = 58 mca. ; Q = 50 m3/h.   FUNDICIÓN NODULAR: Presión máxima= 126 mca</v>
          </cell>
          <cell r="G89">
            <v>879394</v>
          </cell>
          <cell r="I89">
            <v>0</v>
          </cell>
          <cell r="J89">
            <v>0</v>
          </cell>
          <cell r="K89">
            <v>0</v>
          </cell>
        </row>
        <row r="90">
          <cell r="E90">
            <v>0</v>
          </cell>
          <cell r="F90" t="str">
            <v>Bomba VOGT N 629 d=160 mm FMS (Nacional) con motor 10 Hp.  H = 34 mca. ; Q = 50 m3/h.   FUNDICIÓN NORMAL</v>
          </cell>
          <cell r="G90">
            <v>610259</v>
          </cell>
          <cell r="I90">
            <v>0</v>
          </cell>
          <cell r="J90">
            <v>0</v>
          </cell>
          <cell r="K90">
            <v>0</v>
          </cell>
        </row>
        <row r="92">
          <cell r="E92">
            <v>0</v>
          </cell>
          <cell r="F92" t="str">
            <v>Tablero control motor 2x10 + 15 Hp con 5 estaciones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E93">
            <v>1</v>
          </cell>
          <cell r="F93" t="str">
            <v>Modificación tablero agragando 2 estaciones</v>
          </cell>
          <cell r="G93">
            <v>60000</v>
          </cell>
          <cell r="I93">
            <v>0</v>
          </cell>
          <cell r="J93">
            <v>60000</v>
          </cell>
          <cell r="K93">
            <v>0</v>
          </cell>
        </row>
        <row r="94">
          <cell r="E94">
            <v>0</v>
          </cell>
          <cell r="F94" t="str">
            <v>Filtro arena 2x30", automático, con filtro de mallas de seguridad en 4"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E95">
            <v>0</v>
          </cell>
          <cell r="F95" t="str">
            <v>Filtro anillas 2x3", automático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E96">
            <v>0</v>
          </cell>
          <cell r="F96" t="str">
            <v>Filtro mallas acero 4"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E97">
            <v>0</v>
          </cell>
          <cell r="F97" t="str">
            <v>Programador Netafim Miracle 6 estaciones, sin caja ni transformador.</v>
          </cell>
          <cell r="G97">
            <v>0</v>
          </cell>
          <cell r="I97">
            <v>133</v>
          </cell>
          <cell r="J97">
            <v>0</v>
          </cell>
          <cell r="K97">
            <v>0</v>
          </cell>
        </row>
        <row r="98">
          <cell r="E98">
            <v>0</v>
          </cell>
          <cell r="F98" t="str">
            <v>mts. cable unipolar 1,5 mm2</v>
          </cell>
          <cell r="G98">
            <v>45</v>
          </cell>
          <cell r="I98">
            <v>0</v>
          </cell>
          <cell r="J98">
            <v>0</v>
          </cell>
          <cell r="K98">
            <v>0</v>
          </cell>
        </row>
        <row r="99">
          <cell r="E99">
            <v>6200</v>
          </cell>
          <cell r="F99" t="str">
            <v>mts. cable unipolar 2,5 mm2</v>
          </cell>
          <cell r="G99">
            <v>91</v>
          </cell>
          <cell r="I99">
            <v>0</v>
          </cell>
          <cell r="J99">
            <v>564200</v>
          </cell>
          <cell r="K99">
            <v>0</v>
          </cell>
        </row>
        <row r="100">
          <cell r="E100">
            <v>1</v>
          </cell>
          <cell r="F100" t="str">
            <v>Manómetro con adaptador</v>
          </cell>
          <cell r="G100">
            <v>7222.8</v>
          </cell>
          <cell r="I100">
            <v>21</v>
          </cell>
          <cell r="J100">
            <v>7222.8</v>
          </cell>
          <cell r="K100">
            <v>21</v>
          </cell>
        </row>
        <row r="101">
          <cell r="E101">
            <v>0</v>
          </cell>
          <cell r="F101" t="str">
            <v>Guardanivel MAC5</v>
          </cell>
          <cell r="G101">
            <v>9373</v>
          </cell>
          <cell r="I101">
            <v>0</v>
          </cell>
          <cell r="J101">
            <v>0</v>
          </cell>
          <cell r="K101">
            <v>0</v>
          </cell>
        </row>
        <row r="102">
          <cell r="E102">
            <v>0</v>
          </cell>
          <cell r="F102" t="str">
            <v>Kit Venturi Mazzei 1078, estanque. 200 lt.</v>
          </cell>
          <cell r="G102">
            <v>16500</v>
          </cell>
          <cell r="I102">
            <v>320</v>
          </cell>
          <cell r="J102">
            <v>0</v>
          </cell>
          <cell r="K102">
            <v>0</v>
          </cell>
        </row>
        <row r="103">
          <cell r="E103" t="str">
            <v>Gl</v>
          </cell>
          <cell r="F103" t="str">
            <v>Fitting Caseta en 4"</v>
          </cell>
          <cell r="G103" t="str">
            <v xml:space="preserve"> </v>
          </cell>
          <cell r="J103">
            <v>0</v>
          </cell>
          <cell r="K103">
            <v>0</v>
          </cell>
        </row>
        <row r="105">
          <cell r="F105" t="str">
            <v>SUBTOTAL CASETA</v>
          </cell>
          <cell r="J105">
            <v>631422.80000000005</v>
          </cell>
          <cell r="K105">
            <v>21</v>
          </cell>
          <cell r="L105" t="str">
            <v>U$/Ha=</v>
          </cell>
          <cell r="M105">
            <v>77.040430046008254</v>
          </cell>
        </row>
        <row r="106">
          <cell r="F106" t="str">
            <v>TOTAL SUMINISTRO</v>
          </cell>
          <cell r="I106" t="str">
            <v xml:space="preserve"> </v>
          </cell>
          <cell r="J106">
            <v>5635736.0542981252</v>
          </cell>
          <cell r="K106">
            <v>782.46122448979622</v>
          </cell>
          <cell r="L106" t="str">
            <v>U$/Ha=</v>
          </cell>
          <cell r="M106">
            <v>738.04691231142226</v>
          </cell>
        </row>
        <row r="107">
          <cell r="F107" t="str">
            <v>DISEÑO</v>
          </cell>
        </row>
        <row r="109">
          <cell r="E109" t="str">
            <v>Gl</v>
          </cell>
          <cell r="F109" t="str">
            <v>Costo fijo</v>
          </cell>
          <cell r="J109">
            <v>0</v>
          </cell>
          <cell r="K109">
            <v>0</v>
          </cell>
        </row>
        <row r="110">
          <cell r="E110">
            <v>11.8</v>
          </cell>
          <cell r="F110" t="str">
            <v>Costo variable por Há</v>
          </cell>
          <cell r="G110">
            <v>42660</v>
          </cell>
          <cell r="I110">
            <v>0</v>
          </cell>
          <cell r="J110">
            <v>503388.00000000006</v>
          </cell>
          <cell r="K110">
            <v>0</v>
          </cell>
        </row>
        <row r="112">
          <cell r="E112">
            <v>0</v>
          </cell>
          <cell r="F112" t="str">
            <v>Días Ingeniero</v>
          </cell>
          <cell r="G112">
            <v>150000</v>
          </cell>
          <cell r="I112">
            <v>0</v>
          </cell>
          <cell r="J112">
            <v>0</v>
          </cell>
          <cell r="K112">
            <v>0</v>
          </cell>
        </row>
        <row r="113">
          <cell r="E113">
            <v>0</v>
          </cell>
          <cell r="F113" t="str">
            <v>Días Dibujante</v>
          </cell>
          <cell r="G113">
            <v>50000</v>
          </cell>
          <cell r="I113">
            <v>0</v>
          </cell>
          <cell r="J113">
            <v>0</v>
          </cell>
          <cell r="K113">
            <v>0</v>
          </cell>
        </row>
        <row r="114">
          <cell r="E114">
            <v>0</v>
          </cell>
          <cell r="F114" t="str">
            <v>Días Ayudante</v>
          </cell>
          <cell r="G114">
            <v>35000</v>
          </cell>
          <cell r="I114">
            <v>0</v>
          </cell>
          <cell r="J114">
            <v>0</v>
          </cell>
          <cell r="K114">
            <v>0</v>
          </cell>
        </row>
        <row r="115">
          <cell r="E115" t="str">
            <v>Gl</v>
          </cell>
          <cell r="F115" t="str">
            <v>Costo fijo</v>
          </cell>
          <cell r="J115">
            <v>0</v>
          </cell>
          <cell r="K115">
            <v>0</v>
          </cell>
        </row>
        <row r="117">
          <cell r="F117" t="str">
            <v>SUBTOTAL DISEÑO</v>
          </cell>
          <cell r="J117">
            <v>503388.00000000006</v>
          </cell>
          <cell r="K117">
            <v>0</v>
          </cell>
          <cell r="L117" t="str">
            <v>U$/Ha=</v>
          </cell>
          <cell r="M117">
            <v>60.000000000000007</v>
          </cell>
        </row>
        <row r="118">
          <cell r="F118" t="str">
            <v>INSTALACIÓN Y FLETES</v>
          </cell>
        </row>
        <row r="120">
          <cell r="E120">
            <v>11.8</v>
          </cell>
          <cell r="F120" t="str">
            <v>hás montaje cerro</v>
          </cell>
          <cell r="G120">
            <v>74000</v>
          </cell>
          <cell r="I120">
            <v>0</v>
          </cell>
          <cell r="J120">
            <v>873200</v>
          </cell>
          <cell r="K120">
            <v>0</v>
          </cell>
        </row>
        <row r="121">
          <cell r="E121">
            <v>0.5</v>
          </cell>
          <cell r="F121" t="str">
            <v>Días Soldador</v>
          </cell>
          <cell r="G121">
            <v>48400</v>
          </cell>
          <cell r="I121">
            <v>0</v>
          </cell>
          <cell r="J121">
            <v>24200</v>
          </cell>
          <cell r="K121">
            <v>0</v>
          </cell>
        </row>
        <row r="122">
          <cell r="E122">
            <v>0</v>
          </cell>
          <cell r="F122" t="str">
            <v>Días Soldadora rotativa</v>
          </cell>
          <cell r="G122">
            <v>15400</v>
          </cell>
          <cell r="I122">
            <v>0</v>
          </cell>
          <cell r="J122">
            <v>0</v>
          </cell>
          <cell r="K122">
            <v>0</v>
          </cell>
        </row>
        <row r="123">
          <cell r="E123">
            <v>0.5</v>
          </cell>
          <cell r="F123" t="str">
            <v>Días Eléctrico</v>
          </cell>
          <cell r="G123">
            <v>46200</v>
          </cell>
          <cell r="I123">
            <v>0</v>
          </cell>
          <cell r="J123">
            <v>23100</v>
          </cell>
          <cell r="K123">
            <v>0</v>
          </cell>
        </row>
        <row r="124">
          <cell r="E124">
            <v>2</v>
          </cell>
          <cell r="F124" t="str">
            <v>Días Supervisor</v>
          </cell>
          <cell r="G124">
            <v>82500</v>
          </cell>
          <cell r="I124">
            <v>0</v>
          </cell>
          <cell r="J124">
            <v>165000</v>
          </cell>
          <cell r="K124">
            <v>0</v>
          </cell>
        </row>
        <row r="125">
          <cell r="E125">
            <v>1</v>
          </cell>
          <cell r="F125" t="str">
            <v>Fletes</v>
          </cell>
          <cell r="G125">
            <v>80000</v>
          </cell>
          <cell r="I125">
            <v>0</v>
          </cell>
          <cell r="J125">
            <v>80000</v>
          </cell>
          <cell r="K125">
            <v>0</v>
          </cell>
        </row>
        <row r="126">
          <cell r="E126">
            <v>600</v>
          </cell>
          <cell r="F126" t="str">
            <v>Km de Camioneta</v>
          </cell>
          <cell r="G126">
            <v>250</v>
          </cell>
          <cell r="I126">
            <v>0</v>
          </cell>
          <cell r="J126">
            <v>150000</v>
          </cell>
          <cell r="K126">
            <v>0</v>
          </cell>
        </row>
        <row r="128">
          <cell r="F128" t="str">
            <v>SUBTOTAL INSTALACIÓN Y FLETES</v>
          </cell>
          <cell r="J128">
            <v>1315500</v>
          </cell>
          <cell r="K128">
            <v>0</v>
          </cell>
          <cell r="L128" t="str">
            <v>U$/Ha=</v>
          </cell>
          <cell r="M128">
            <v>156.79753986984193</v>
          </cell>
        </row>
        <row r="129">
          <cell r="F129" t="str">
            <v>TOTAL NETO</v>
          </cell>
          <cell r="I129" t="str">
            <v xml:space="preserve"> </v>
          </cell>
          <cell r="J129">
            <v>7454624.0542981252</v>
          </cell>
          <cell r="K129">
            <v>782.46122448979622</v>
          </cell>
          <cell r="L129" t="str">
            <v>U$/Ha=</v>
          </cell>
          <cell r="M129">
            <v>954.84445218126405</v>
          </cell>
        </row>
        <row r="132">
          <cell r="F132" t="str">
            <v>PARTIDA</v>
          </cell>
          <cell r="G132" t="str">
            <v>$</v>
          </cell>
          <cell r="I132" t="str">
            <v>$</v>
          </cell>
          <cell r="J132" t="str">
            <v>+     US$</v>
          </cell>
          <cell r="K132" t="str">
            <v>Descuento</v>
          </cell>
          <cell r="L132" t="str">
            <v>Factor</v>
          </cell>
          <cell r="N132" t="str">
            <v>$</v>
          </cell>
        </row>
        <row r="133">
          <cell r="F133" t="str">
            <v>Tuberías de PVC</v>
          </cell>
          <cell r="G133">
            <v>1262135</v>
          </cell>
          <cell r="I133">
            <v>1262135</v>
          </cell>
          <cell r="J133">
            <v>0</v>
          </cell>
          <cell r="K133">
            <v>35</v>
          </cell>
          <cell r="L133">
            <v>0.65</v>
          </cell>
          <cell r="M133">
            <v>-7.1753813973940983E-2</v>
          </cell>
          <cell r="N133">
            <v>1352698</v>
          </cell>
        </row>
        <row r="134">
          <cell r="F134" t="str">
            <v>Piezas especiales PVC</v>
          </cell>
          <cell r="G134">
            <v>349514</v>
          </cell>
          <cell r="I134">
            <v>349514</v>
          </cell>
          <cell r="J134">
            <v>0</v>
          </cell>
          <cell r="K134">
            <v>10</v>
          </cell>
          <cell r="L134">
            <v>0.9</v>
          </cell>
          <cell r="M134">
            <v>0.18999811166362435</v>
          </cell>
          <cell r="N134">
            <v>283107</v>
          </cell>
        </row>
        <row r="135">
          <cell r="F135" t="str">
            <v>Laterales de polietileno</v>
          </cell>
          <cell r="G135">
            <v>851117</v>
          </cell>
          <cell r="I135">
            <v>851117</v>
          </cell>
          <cell r="J135">
            <v>0</v>
          </cell>
          <cell r="K135">
            <v>10</v>
          </cell>
          <cell r="L135">
            <v>0.9</v>
          </cell>
          <cell r="M135">
            <v>0.20833328437805848</v>
          </cell>
          <cell r="N135">
            <v>673801</v>
          </cell>
        </row>
        <row r="136">
          <cell r="F136" t="str">
            <v>Goteros</v>
          </cell>
          <cell r="G136">
            <v>916541</v>
          </cell>
          <cell r="I136">
            <v>429506</v>
          </cell>
          <cell r="J136">
            <v>685</v>
          </cell>
          <cell r="K136">
            <v>10</v>
          </cell>
          <cell r="L136">
            <v>0.9</v>
          </cell>
          <cell r="M136">
            <v>0.20778339430532838</v>
          </cell>
          <cell r="N136">
            <v>340026</v>
          </cell>
        </row>
        <row r="137">
          <cell r="F137" t="str">
            <v>Microaspersores</v>
          </cell>
          <cell r="G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 t="str">
            <v/>
          </cell>
          <cell r="N137">
            <v>0</v>
          </cell>
        </row>
        <row r="138">
          <cell r="F138" t="str">
            <v>Chicotes</v>
          </cell>
          <cell r="G138">
            <v>107910</v>
          </cell>
          <cell r="I138">
            <v>107910</v>
          </cell>
          <cell r="J138">
            <v>0</v>
          </cell>
          <cell r="K138">
            <v>10</v>
          </cell>
          <cell r="L138">
            <v>0.9</v>
          </cell>
          <cell r="M138">
            <v>0.20833101658789735</v>
          </cell>
          <cell r="N138">
            <v>85429</v>
          </cell>
        </row>
        <row r="139">
          <cell r="F139" t="str">
            <v>Válvulas eléctricas</v>
          </cell>
          <cell r="G139">
            <v>904028</v>
          </cell>
          <cell r="I139">
            <v>904028</v>
          </cell>
          <cell r="J139">
            <v>0</v>
          </cell>
          <cell r="K139">
            <v>0</v>
          </cell>
          <cell r="L139">
            <v>1</v>
          </cell>
          <cell r="M139">
            <v>0.10000022123208574</v>
          </cell>
          <cell r="N139">
            <v>813625</v>
          </cell>
        </row>
        <row r="140">
          <cell r="F140" t="str">
            <v>Válvulas de bola y compuerta</v>
          </cell>
          <cell r="G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 t="str">
            <v/>
          </cell>
          <cell r="N140">
            <v>0</v>
          </cell>
        </row>
        <row r="141">
          <cell r="F141" t="str">
            <v>Válvulas antivacío y control</v>
          </cell>
          <cell r="G141">
            <v>227375</v>
          </cell>
          <cell r="I141">
            <v>227375</v>
          </cell>
          <cell r="J141">
            <v>0</v>
          </cell>
          <cell r="K141">
            <v>0</v>
          </cell>
          <cell r="L141">
            <v>1</v>
          </cell>
          <cell r="M141">
            <v>0.28749862561847167</v>
          </cell>
          <cell r="N141">
            <v>162005</v>
          </cell>
        </row>
        <row r="142">
          <cell r="F142" t="str">
            <v>Equipo de bombeo</v>
          </cell>
          <cell r="G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 t="str">
            <v/>
          </cell>
          <cell r="N142">
            <v>0</v>
          </cell>
        </row>
        <row r="143">
          <cell r="F143" t="str">
            <v>Tablero</v>
          </cell>
          <cell r="G143">
            <v>0</v>
          </cell>
          <cell r="I143">
            <v>0</v>
          </cell>
          <cell r="J143">
            <v>0</v>
          </cell>
          <cell r="K143">
            <v>10</v>
          </cell>
          <cell r="L143">
            <v>0.9</v>
          </cell>
          <cell r="M143" t="str">
            <v/>
          </cell>
          <cell r="N143">
            <v>0</v>
          </cell>
        </row>
        <row r="144">
          <cell r="F144" t="str">
            <v>Filtro</v>
          </cell>
          <cell r="G144">
            <v>0</v>
          </cell>
          <cell r="I144">
            <v>0</v>
          </cell>
          <cell r="J144">
            <v>0</v>
          </cell>
          <cell r="K144">
            <v>10</v>
          </cell>
          <cell r="L144">
            <v>0.9</v>
          </cell>
          <cell r="M144" t="str">
            <v/>
          </cell>
          <cell r="N144">
            <v>0</v>
          </cell>
        </row>
        <row r="145">
          <cell r="F145" t="str">
            <v>Programador</v>
          </cell>
          <cell r="G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 t="str">
            <v/>
          </cell>
          <cell r="N145">
            <v>0</v>
          </cell>
        </row>
        <row r="146">
          <cell r="F146" t="str">
            <v>Cables de señal</v>
          </cell>
          <cell r="G146">
            <v>507780</v>
          </cell>
          <cell r="I146">
            <v>507780</v>
          </cell>
          <cell r="J146">
            <v>0</v>
          </cell>
          <cell r="K146">
            <v>10</v>
          </cell>
          <cell r="L146">
            <v>0.9</v>
          </cell>
          <cell r="M146">
            <v>0.14444444444444443</v>
          </cell>
          <cell r="N146">
            <v>434434</v>
          </cell>
        </row>
        <row r="147">
          <cell r="F147" t="str">
            <v>Venturi y otros elementos caseta</v>
          </cell>
          <cell r="G147">
            <v>22154</v>
          </cell>
          <cell r="I147">
            <v>7223</v>
          </cell>
          <cell r="J147">
            <v>21</v>
          </cell>
          <cell r="K147">
            <v>0</v>
          </cell>
          <cell r="L147">
            <v>1</v>
          </cell>
          <cell r="M147">
            <v>0.28631398393066715</v>
          </cell>
          <cell r="N147">
            <v>5146</v>
          </cell>
        </row>
        <row r="148">
          <cell r="F148" t="str">
            <v>Válvulas y piezas de acero caseta</v>
          </cell>
          <cell r="G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0.9</v>
          </cell>
          <cell r="M148" t="str">
            <v/>
          </cell>
          <cell r="N148">
            <v>0</v>
          </cell>
        </row>
        <row r="149">
          <cell r="F149" t="str">
            <v xml:space="preserve">TOTAL NETO SUMINISTRO </v>
          </cell>
          <cell r="G149">
            <v>5148554</v>
          </cell>
          <cell r="I149">
            <v>4646588</v>
          </cell>
          <cell r="J149">
            <v>706</v>
          </cell>
          <cell r="K149" t="str">
            <v>U$/HA=</v>
          </cell>
          <cell r="L149">
            <v>613.66826384419176</v>
          </cell>
          <cell r="M149">
            <v>0.11683765966133403</v>
          </cell>
          <cell r="N149">
            <v>4150271</v>
          </cell>
        </row>
        <row r="150">
          <cell r="F150" t="str">
            <v>Proyecto</v>
          </cell>
          <cell r="G150">
            <v>503388.00000000006</v>
          </cell>
          <cell r="I150">
            <v>503388.00000000006</v>
          </cell>
          <cell r="K150" t="str">
            <v>U$/HA=</v>
          </cell>
          <cell r="L150">
            <v>60.000000000000007</v>
          </cell>
          <cell r="M150">
            <v>1.1563180074508609E-16</v>
          </cell>
          <cell r="N150">
            <v>503388</v>
          </cell>
        </row>
        <row r="151">
          <cell r="F151" t="str">
            <v>Fletes y montaje</v>
          </cell>
          <cell r="G151">
            <v>1315500</v>
          </cell>
          <cell r="I151">
            <v>1315500</v>
          </cell>
          <cell r="J151">
            <v>0</v>
          </cell>
          <cell r="K151" t="str">
            <v>U$/HA=</v>
          </cell>
          <cell r="L151">
            <v>156.79753986984193</v>
          </cell>
          <cell r="M151">
            <v>0.3</v>
          </cell>
          <cell r="N151">
            <v>920850</v>
          </cell>
        </row>
        <row r="152">
          <cell r="F152" t="str">
            <v>TOTAL NETO SISTEMA</v>
          </cell>
          <cell r="G152">
            <v>6967442</v>
          </cell>
          <cell r="I152">
            <v>6465476</v>
          </cell>
          <cell r="J152">
            <v>706</v>
          </cell>
          <cell r="K152" t="str">
            <v>U$/HA=</v>
          </cell>
          <cell r="L152">
            <v>830.46580371403365</v>
          </cell>
          <cell r="M152">
            <v>0.14297858525410043</v>
          </cell>
          <cell r="N152">
            <v>5574509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ANTEPROYECTO"/>
      <sheetName val="BASES"/>
      <sheetName val="BLOQUES"/>
      <sheetName val="PRESU solo red de riego"/>
      <sheetName val="PRESU con refuerzo cabezal"/>
      <sheetName val="PARTES"/>
      <sheetName val="FITTINGS PVC"/>
      <sheetName val="Fittings Caseta"/>
      <sheetName val="CPCC"/>
      <sheetName val="MATRIZ"/>
      <sheetName val="PROFORMA"/>
      <sheetName val="Cotización"/>
      <sheetName val="ARIETE"/>
      <sheetName val="IMPU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8">
          <cell r="E8" t="str">
            <v>Cantidad</v>
          </cell>
          <cell r="F8" t="str">
            <v>Descripción</v>
          </cell>
          <cell r="G8" t="str">
            <v>V. Unitario</v>
          </cell>
          <cell r="I8" t="str">
            <v>V. Unitario</v>
          </cell>
          <cell r="J8" t="str">
            <v>V. Total</v>
          </cell>
          <cell r="K8" t="str">
            <v>V. Total</v>
          </cell>
          <cell r="L8" t="str">
            <v>Hás=</v>
          </cell>
          <cell r="M8">
            <v>11.8</v>
          </cell>
        </row>
        <row r="9">
          <cell r="G9" t="str">
            <v xml:space="preserve">    $</v>
          </cell>
          <cell r="I9" t="str">
            <v xml:space="preserve"> US$</v>
          </cell>
          <cell r="J9" t="str">
            <v xml:space="preserve">    $</v>
          </cell>
          <cell r="K9" t="str">
            <v xml:space="preserve">   US$</v>
          </cell>
          <cell r="L9" t="str">
            <v>Tasa/C=</v>
          </cell>
          <cell r="M9">
            <v>711</v>
          </cell>
        </row>
        <row r="10">
          <cell r="F10" t="str">
            <v>TUBERÍAS</v>
          </cell>
          <cell r="G10" t="str">
            <v>Matriz=</v>
          </cell>
          <cell r="I10">
            <v>63.002542372881351</v>
          </cell>
          <cell r="J10" t="str">
            <v>S.Matriz=</v>
          </cell>
          <cell r="K10">
            <v>0</v>
          </cell>
          <cell r="L10" t="str">
            <v>Kg/há=</v>
          </cell>
          <cell r="M10">
            <v>63.002542372881351</v>
          </cell>
        </row>
        <row r="11">
          <cell r="E11" t="str">
            <v/>
          </cell>
        </row>
        <row r="12">
          <cell r="E12">
            <v>0</v>
          </cell>
          <cell r="F12" t="str">
            <v>mts. PVC 125 mm Cl-16</v>
          </cell>
          <cell r="G12">
            <v>7259.2000000000007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42</v>
          </cell>
          <cell r="F13" t="str">
            <v>mts. PVC  32 mm Cl-10</v>
          </cell>
          <cell r="G13">
            <v>346</v>
          </cell>
          <cell r="I13">
            <v>0</v>
          </cell>
          <cell r="J13">
            <v>14532</v>
          </cell>
          <cell r="K13">
            <v>0</v>
          </cell>
        </row>
        <row r="14">
          <cell r="E14">
            <v>180</v>
          </cell>
          <cell r="F14" t="str">
            <v>mts. PVC  40 mm Cl-10</v>
          </cell>
          <cell r="G14">
            <v>479</v>
          </cell>
          <cell r="I14">
            <v>0</v>
          </cell>
          <cell r="J14">
            <v>86220</v>
          </cell>
          <cell r="K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F15" t="str">
            <v>mts. PVC  50 mm Cl-10</v>
          </cell>
          <cell r="G15">
            <v>724</v>
          </cell>
          <cell r="I15">
            <v>0</v>
          </cell>
          <cell r="J15">
            <v>0</v>
          </cell>
          <cell r="K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W15">
            <v>0.56000000000000005</v>
          </cell>
          <cell r="Y15">
            <v>0</v>
          </cell>
          <cell r="Z15">
            <v>0</v>
          </cell>
          <cell r="AB15">
            <v>1292.8571428571427</v>
          </cell>
        </row>
        <row r="16">
          <cell r="B16">
            <v>0</v>
          </cell>
          <cell r="C16">
            <v>0</v>
          </cell>
          <cell r="E16">
            <v>0</v>
          </cell>
          <cell r="F16" t="str">
            <v>mts. PVC  63 mm Cl-10</v>
          </cell>
          <cell r="G16">
            <v>1156</v>
          </cell>
          <cell r="I16">
            <v>0</v>
          </cell>
          <cell r="J16">
            <v>0</v>
          </cell>
          <cell r="K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W16">
            <v>0.87</v>
          </cell>
          <cell r="Y16">
            <v>0</v>
          </cell>
          <cell r="Z16">
            <v>0</v>
          </cell>
          <cell r="AB16">
            <v>1328.7356321839081</v>
          </cell>
        </row>
        <row r="17">
          <cell r="B17">
            <v>126</v>
          </cell>
          <cell r="C17">
            <v>0</v>
          </cell>
          <cell r="E17">
            <v>126</v>
          </cell>
          <cell r="F17" t="str">
            <v>mts. PVC  75 mm Cl-10</v>
          </cell>
          <cell r="G17">
            <v>1652</v>
          </cell>
          <cell r="I17">
            <v>0</v>
          </cell>
          <cell r="J17">
            <v>208152</v>
          </cell>
          <cell r="K17">
            <v>0</v>
          </cell>
          <cell r="O17">
            <v>126</v>
          </cell>
          <cell r="P17">
            <v>208152</v>
          </cell>
          <cell r="Q17">
            <v>0</v>
          </cell>
          <cell r="R17">
            <v>0</v>
          </cell>
          <cell r="W17">
            <v>1.25</v>
          </cell>
          <cell r="Y17">
            <v>157.5</v>
          </cell>
          <cell r="Z17">
            <v>0</v>
          </cell>
          <cell r="AB17">
            <v>1321.6</v>
          </cell>
        </row>
        <row r="18">
          <cell r="B18">
            <v>48</v>
          </cell>
          <cell r="C18">
            <v>0</v>
          </cell>
          <cell r="E18">
            <v>48</v>
          </cell>
          <cell r="F18" t="str">
            <v>mts. PVC  90 mm Cl-10</v>
          </cell>
          <cell r="G18">
            <v>2366</v>
          </cell>
          <cell r="I18">
            <v>0</v>
          </cell>
          <cell r="J18">
            <v>113568</v>
          </cell>
          <cell r="K18">
            <v>0</v>
          </cell>
          <cell r="O18">
            <v>48</v>
          </cell>
          <cell r="P18">
            <v>113568</v>
          </cell>
          <cell r="Q18">
            <v>0</v>
          </cell>
          <cell r="R18">
            <v>0</v>
          </cell>
          <cell r="W18">
            <v>1.79</v>
          </cell>
          <cell r="Y18">
            <v>85.92</v>
          </cell>
          <cell r="Z18">
            <v>0</v>
          </cell>
          <cell r="AB18">
            <v>1321.7877094972066</v>
          </cell>
        </row>
        <row r="19">
          <cell r="B19">
            <v>156</v>
          </cell>
          <cell r="C19">
            <v>0</v>
          </cell>
          <cell r="E19">
            <v>156</v>
          </cell>
          <cell r="F19" t="str">
            <v>mts. PVC  40 mm Cl-6</v>
          </cell>
          <cell r="G19">
            <v>438</v>
          </cell>
          <cell r="I19">
            <v>0</v>
          </cell>
          <cell r="J19">
            <v>68328</v>
          </cell>
          <cell r="K19">
            <v>0</v>
          </cell>
          <cell r="O19">
            <v>156</v>
          </cell>
          <cell r="P19">
            <v>68328</v>
          </cell>
          <cell r="Q19">
            <v>0</v>
          </cell>
          <cell r="R19">
            <v>0</v>
          </cell>
          <cell r="W19">
            <v>0.33</v>
          </cell>
          <cell r="Y19">
            <v>51.480000000000004</v>
          </cell>
          <cell r="Z19">
            <v>0</v>
          </cell>
          <cell r="AB19">
            <v>1327.2727272727273</v>
          </cell>
        </row>
        <row r="20">
          <cell r="B20">
            <v>36</v>
          </cell>
          <cell r="C20">
            <v>0</v>
          </cell>
          <cell r="E20">
            <v>36</v>
          </cell>
          <cell r="F20" t="str">
            <v>mts. PVC  50 mm Cl-6</v>
          </cell>
          <cell r="G20">
            <v>554</v>
          </cell>
          <cell r="I20">
            <v>0</v>
          </cell>
          <cell r="J20">
            <v>19944</v>
          </cell>
          <cell r="K20">
            <v>0</v>
          </cell>
          <cell r="O20">
            <v>36</v>
          </cell>
          <cell r="P20">
            <v>19944</v>
          </cell>
          <cell r="Q20">
            <v>0</v>
          </cell>
          <cell r="R20">
            <v>0</v>
          </cell>
          <cell r="W20">
            <v>0.42</v>
          </cell>
          <cell r="Y20">
            <v>15.12</v>
          </cell>
          <cell r="Z20">
            <v>0</v>
          </cell>
          <cell r="AB20">
            <v>1319.047619047619</v>
          </cell>
        </row>
        <row r="21">
          <cell r="B21">
            <v>216</v>
          </cell>
          <cell r="C21">
            <v>0</v>
          </cell>
          <cell r="E21">
            <v>216</v>
          </cell>
          <cell r="F21" t="str">
            <v>mts. PVC  63 mm Cl-6</v>
          </cell>
          <cell r="G21">
            <v>761</v>
          </cell>
          <cell r="I21">
            <v>0</v>
          </cell>
          <cell r="J21">
            <v>164376</v>
          </cell>
          <cell r="K21">
            <v>0</v>
          </cell>
          <cell r="O21">
            <v>216</v>
          </cell>
          <cell r="P21">
            <v>164376</v>
          </cell>
          <cell r="Q21">
            <v>0</v>
          </cell>
          <cell r="R21">
            <v>0</v>
          </cell>
          <cell r="W21">
            <v>0.56000000000000005</v>
          </cell>
          <cell r="Y21">
            <v>120.96000000000001</v>
          </cell>
          <cell r="Z21">
            <v>0</v>
          </cell>
          <cell r="AB21">
            <v>1358.9285714285713</v>
          </cell>
        </row>
        <row r="22">
          <cell r="B22">
            <v>45</v>
          </cell>
          <cell r="C22">
            <v>0</v>
          </cell>
          <cell r="E22">
            <v>48</v>
          </cell>
          <cell r="F22" t="str">
            <v>mts. PVC  75 mm Cl-6</v>
          </cell>
          <cell r="G22">
            <v>1059</v>
          </cell>
          <cell r="I22">
            <v>0</v>
          </cell>
          <cell r="J22">
            <v>50832</v>
          </cell>
          <cell r="K22">
            <v>0</v>
          </cell>
          <cell r="O22">
            <v>48</v>
          </cell>
          <cell r="P22">
            <v>50832</v>
          </cell>
          <cell r="Q22">
            <v>0</v>
          </cell>
          <cell r="R22">
            <v>0</v>
          </cell>
          <cell r="W22">
            <v>0.77</v>
          </cell>
          <cell r="Y22">
            <v>34.65</v>
          </cell>
          <cell r="Z22">
            <v>0</v>
          </cell>
          <cell r="AB22">
            <v>1375.3246753246754</v>
          </cell>
        </row>
        <row r="23">
          <cell r="B23">
            <v>66</v>
          </cell>
          <cell r="C23">
            <v>0</v>
          </cell>
          <cell r="E23">
            <v>66</v>
          </cell>
          <cell r="F23" t="str">
            <v>mts. PVC  90 mm Cl-6</v>
          </cell>
          <cell r="G23">
            <v>1531</v>
          </cell>
          <cell r="I23">
            <v>0</v>
          </cell>
          <cell r="J23">
            <v>101046</v>
          </cell>
          <cell r="K23">
            <v>0</v>
          </cell>
          <cell r="O23">
            <v>66</v>
          </cell>
          <cell r="P23">
            <v>101046</v>
          </cell>
          <cell r="Q23">
            <v>0</v>
          </cell>
          <cell r="R23">
            <v>0</v>
          </cell>
          <cell r="W23">
            <v>1.1200000000000001</v>
          </cell>
          <cell r="Y23">
            <v>73.92</v>
          </cell>
          <cell r="Z23">
            <v>0</v>
          </cell>
          <cell r="AB23">
            <v>1366.9642857142856</v>
          </cell>
        </row>
        <row r="24">
          <cell r="B24">
            <v>78</v>
          </cell>
          <cell r="C24">
            <v>0</v>
          </cell>
          <cell r="E24">
            <v>78</v>
          </cell>
          <cell r="F24" t="str">
            <v>mts. PVC 110 mm Cl-6</v>
          </cell>
          <cell r="G24">
            <v>2226</v>
          </cell>
          <cell r="I24">
            <v>0</v>
          </cell>
          <cell r="J24">
            <v>173628</v>
          </cell>
          <cell r="K24">
            <v>0</v>
          </cell>
          <cell r="O24">
            <v>78</v>
          </cell>
          <cell r="P24">
            <v>173628</v>
          </cell>
          <cell r="Q24">
            <v>0</v>
          </cell>
          <cell r="R24">
            <v>0</v>
          </cell>
          <cell r="W24">
            <v>1.62</v>
          </cell>
          <cell r="Y24">
            <v>126.36000000000001</v>
          </cell>
          <cell r="Z24">
            <v>0</v>
          </cell>
          <cell r="AB24">
            <v>1374.0740740740739</v>
          </cell>
        </row>
        <row r="25">
          <cell r="B25">
            <v>0</v>
          </cell>
          <cell r="C25">
            <v>0</v>
          </cell>
          <cell r="E25">
            <v>0</v>
          </cell>
          <cell r="F25" t="str">
            <v>mts. PVC 125 mm Cl-6</v>
          </cell>
          <cell r="G25">
            <v>2893</v>
          </cell>
          <cell r="I25">
            <v>0</v>
          </cell>
          <cell r="J25">
            <v>0</v>
          </cell>
          <cell r="K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W25">
            <v>2.29</v>
          </cell>
          <cell r="Y25">
            <v>0</v>
          </cell>
          <cell r="Z25">
            <v>0</v>
          </cell>
          <cell r="AB25">
            <v>1263.3187772925764</v>
          </cell>
        </row>
        <row r="26">
          <cell r="B26">
            <v>0</v>
          </cell>
          <cell r="C26">
            <v>0</v>
          </cell>
          <cell r="E26">
            <v>0</v>
          </cell>
          <cell r="F26" t="str">
            <v>mts. PVC 140 mm Cl-6</v>
          </cell>
          <cell r="G26">
            <v>3609</v>
          </cell>
          <cell r="I26">
            <v>0</v>
          </cell>
          <cell r="J26">
            <v>0</v>
          </cell>
          <cell r="K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W26">
            <v>2.62</v>
          </cell>
          <cell r="Y26">
            <v>0</v>
          </cell>
          <cell r="Z26">
            <v>0</v>
          </cell>
          <cell r="AB26">
            <v>1377.4809160305342</v>
          </cell>
        </row>
        <row r="27">
          <cell r="B27">
            <v>0</v>
          </cell>
          <cell r="C27">
            <v>0</v>
          </cell>
          <cell r="E27">
            <v>0</v>
          </cell>
          <cell r="F27" t="str">
            <v>mts. PVC  75 mm Cl-4</v>
          </cell>
          <cell r="G27">
            <v>870</v>
          </cell>
          <cell r="I27">
            <v>0</v>
          </cell>
          <cell r="J27">
            <v>0</v>
          </cell>
          <cell r="K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W27">
            <v>0.64</v>
          </cell>
          <cell r="Y27">
            <v>0</v>
          </cell>
          <cell r="Z27">
            <v>0</v>
          </cell>
          <cell r="AB27">
            <v>1359.375</v>
          </cell>
        </row>
        <row r="28">
          <cell r="B28">
            <v>0</v>
          </cell>
          <cell r="C28">
            <v>0</v>
          </cell>
          <cell r="E28">
            <v>0</v>
          </cell>
          <cell r="F28" t="str">
            <v>mts. PVC  90 mm Cl-4</v>
          </cell>
          <cell r="G28">
            <v>1049</v>
          </cell>
          <cell r="I28">
            <v>0</v>
          </cell>
          <cell r="J28">
            <v>0</v>
          </cell>
          <cell r="K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W28">
            <v>0.97</v>
          </cell>
          <cell r="Y28">
            <v>0</v>
          </cell>
          <cell r="Z28">
            <v>0</v>
          </cell>
          <cell r="AB28">
            <v>1081.4432989690722</v>
          </cell>
        </row>
        <row r="29">
          <cell r="B29">
            <v>0</v>
          </cell>
          <cell r="C29">
            <v>0</v>
          </cell>
          <cell r="E29">
            <v>0</v>
          </cell>
          <cell r="F29" t="str">
            <v>mts. PVC 110 mm Cl-4</v>
          </cell>
          <cell r="G29">
            <v>1573</v>
          </cell>
          <cell r="I29">
            <v>0</v>
          </cell>
          <cell r="J29">
            <v>0</v>
          </cell>
          <cell r="K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W29">
            <v>1.1399999999999999</v>
          </cell>
          <cell r="Y29">
            <v>0</v>
          </cell>
          <cell r="Z29">
            <v>0</v>
          </cell>
          <cell r="AB29">
            <v>1379.8245614035088</v>
          </cell>
        </row>
        <row r="30">
          <cell r="B30">
            <v>0</v>
          </cell>
          <cell r="C30">
            <v>0</v>
          </cell>
          <cell r="E30">
            <v>0</v>
          </cell>
          <cell r="F30" t="str">
            <v>mts. PVC 125 mm Cl-4</v>
          </cell>
          <cell r="G30">
            <v>2009</v>
          </cell>
          <cell r="I30">
            <v>0</v>
          </cell>
          <cell r="J30">
            <v>0</v>
          </cell>
          <cell r="K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W30">
            <v>1.6</v>
          </cell>
          <cell r="Y30">
            <v>0</v>
          </cell>
          <cell r="Z30">
            <v>0</v>
          </cell>
          <cell r="AB30">
            <v>1255.625</v>
          </cell>
        </row>
        <row r="31">
          <cell r="B31">
            <v>0</v>
          </cell>
          <cell r="C31">
            <v>0</v>
          </cell>
          <cell r="E31">
            <v>0</v>
          </cell>
          <cell r="F31" t="str">
            <v>mts. PVC 140 mm Cl-4</v>
          </cell>
          <cell r="G31">
            <v>2499</v>
          </cell>
          <cell r="I31">
            <v>0</v>
          </cell>
          <cell r="J31">
            <v>0</v>
          </cell>
          <cell r="K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W31">
            <v>1.84</v>
          </cell>
          <cell r="Y31">
            <v>0</v>
          </cell>
          <cell r="Z31">
            <v>0</v>
          </cell>
          <cell r="AB31">
            <v>1358.1521739130435</v>
          </cell>
        </row>
        <row r="32">
          <cell r="B32">
            <v>0</v>
          </cell>
          <cell r="C32">
            <v>0</v>
          </cell>
          <cell r="E32">
            <v>0</v>
          </cell>
          <cell r="F32" t="str">
            <v>mts. Conduit  III 20 mm</v>
          </cell>
          <cell r="G32">
            <v>172</v>
          </cell>
          <cell r="I32">
            <v>0</v>
          </cell>
          <cell r="J32">
            <v>0</v>
          </cell>
          <cell r="K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W32">
            <v>0.14000000000000001</v>
          </cell>
          <cell r="Y32">
            <v>0</v>
          </cell>
          <cell r="Z32">
            <v>0</v>
          </cell>
          <cell r="AB32">
            <v>1228.5714285714284</v>
          </cell>
        </row>
        <row r="33">
          <cell r="B33">
            <v>0</v>
          </cell>
          <cell r="C33">
            <v>0</v>
          </cell>
          <cell r="E33">
            <v>0</v>
          </cell>
          <cell r="F33" t="str">
            <v>mts. Conduit  III 25 mm</v>
          </cell>
          <cell r="G33">
            <v>218</v>
          </cell>
          <cell r="I33">
            <v>0</v>
          </cell>
          <cell r="J33">
            <v>0</v>
          </cell>
          <cell r="K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W33">
            <v>0.14000000000000001</v>
          </cell>
          <cell r="Y33">
            <v>0</v>
          </cell>
          <cell r="Z33">
            <v>0</v>
          </cell>
          <cell r="AB33">
            <v>1557.1428571428569</v>
          </cell>
        </row>
        <row r="34">
          <cell r="B34">
            <v>0</v>
          </cell>
          <cell r="C34">
            <v>0</v>
          </cell>
          <cell r="E34">
            <v>0</v>
          </cell>
          <cell r="F34" t="str">
            <v>mts. Conduit  III 32 mm</v>
          </cell>
          <cell r="G34">
            <v>330</v>
          </cell>
          <cell r="I34">
            <v>0</v>
          </cell>
          <cell r="J34">
            <v>0</v>
          </cell>
          <cell r="K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W34">
            <v>0.14000000000000001</v>
          </cell>
          <cell r="Y34">
            <v>0</v>
          </cell>
          <cell r="Z34">
            <v>0</v>
          </cell>
          <cell r="AB34">
            <v>2357.1428571428569</v>
          </cell>
        </row>
        <row r="36">
          <cell r="E36" t="str">
            <v>Gl</v>
          </cell>
          <cell r="F36" t="str">
            <v>Costo/HA Matrices ==&gt;</v>
          </cell>
          <cell r="G36">
            <v>0</v>
          </cell>
          <cell r="I36">
            <v>0</v>
          </cell>
          <cell r="J36">
            <v>0</v>
          </cell>
          <cell r="K36" t="str">
            <v>----</v>
          </cell>
          <cell r="L36" t="str">
            <v>Matriz:</v>
          </cell>
          <cell r="M36">
            <v>119.26696703139525</v>
          </cell>
        </row>
        <row r="37">
          <cell r="E37" t="str">
            <v>Gl</v>
          </cell>
          <cell r="F37" t="str">
            <v>Costo/HA Submatrices ==&gt;</v>
          </cell>
          <cell r="G37">
            <v>79755.94530321045</v>
          </cell>
          <cell r="I37">
            <v>0</v>
          </cell>
          <cell r="J37">
            <v>941120.15457788343</v>
          </cell>
          <cell r="K37" t="str">
            <v>----</v>
          </cell>
          <cell r="L37" t="str">
            <v>S.Matriz:</v>
          </cell>
          <cell r="M37">
            <v>112.17432532097111</v>
          </cell>
        </row>
        <row r="39">
          <cell r="E39" t="str">
            <v>Gl</v>
          </cell>
          <cell r="F39" t="str">
            <v xml:space="preserve">Fitting Tubería:    Cl4-20%  Cl6-15% </v>
          </cell>
          <cell r="G39" t="str">
            <v>% de PVC</v>
          </cell>
          <cell r="I39">
            <v>20</v>
          </cell>
          <cell r="J39">
            <v>388349.23091557669</v>
          </cell>
          <cell r="K39">
            <v>0</v>
          </cell>
          <cell r="L39" t="str">
            <v>Fittings:</v>
          </cell>
          <cell r="M39">
            <v>46.288258470473274</v>
          </cell>
        </row>
        <row r="41">
          <cell r="F41" t="str">
            <v>SUBTOTAL TUBERÍAS</v>
          </cell>
          <cell r="J41">
            <v>2330095.3854934601</v>
          </cell>
          <cell r="K41">
            <v>0</v>
          </cell>
          <cell r="L41" t="str">
            <v>U$/há</v>
          </cell>
          <cell r="M41">
            <v>277.72955082283966</v>
          </cell>
        </row>
        <row r="42">
          <cell r="F42" t="str">
            <v>LATERALES</v>
          </cell>
        </row>
        <row r="43">
          <cell r="M43" t="str">
            <v/>
          </cell>
        </row>
        <row r="44">
          <cell r="E44">
            <v>17194.285714285717</v>
          </cell>
          <cell r="F44" t="str">
            <v>mts. Tubería PE liso 16 mm e = 0,9 mm (1635)</v>
          </cell>
          <cell r="G44">
            <v>55</v>
          </cell>
          <cell r="I44">
            <v>0</v>
          </cell>
          <cell r="J44">
            <v>945685.71428571444</v>
          </cell>
          <cell r="K44">
            <v>0</v>
          </cell>
        </row>
        <row r="45">
          <cell r="M45" t="str">
            <v/>
          </cell>
        </row>
        <row r="46">
          <cell r="E46">
            <v>4912.6530612244915</v>
          </cell>
          <cell r="F46" t="str">
            <v>Gotero 4 l/h, PC-Junior, Netafim con 50 cm microtubo flexible y copla</v>
          </cell>
          <cell r="G46">
            <v>97.142857142857153</v>
          </cell>
          <cell r="I46">
            <v>0.155</v>
          </cell>
          <cell r="J46">
            <v>477229.15451895067</v>
          </cell>
          <cell r="K46">
            <v>761.46122448979622</v>
          </cell>
        </row>
        <row r="48">
          <cell r="E48">
            <v>0</v>
          </cell>
          <cell r="F48" t="str">
            <v>Microaspersor 28 l/h, modelo 2001, boquilla , Dan sin deflector (Israel)</v>
          </cell>
          <cell r="G48">
            <v>0</v>
          </cell>
          <cell r="I48">
            <v>1.17</v>
          </cell>
          <cell r="J48">
            <v>0</v>
          </cell>
          <cell r="K48">
            <v>0</v>
          </cell>
        </row>
        <row r="50">
          <cell r="E50">
            <v>550</v>
          </cell>
          <cell r="F50" t="str">
            <v>Conexión 16 mm para PVC &gt;32mm</v>
          </cell>
          <cell r="G50">
            <v>218</v>
          </cell>
          <cell r="I50">
            <v>0</v>
          </cell>
          <cell r="J50">
            <v>119900</v>
          </cell>
          <cell r="K50">
            <v>0</v>
          </cell>
        </row>
        <row r="52">
          <cell r="F52" t="str">
            <v>SUBTOTAL LATERALES</v>
          </cell>
          <cell r="J52">
            <v>1542814.868804665</v>
          </cell>
          <cell r="K52">
            <v>761.46122448979622</v>
          </cell>
          <cell r="L52" t="str">
            <v>U$/Ha=</v>
          </cell>
          <cell r="M52">
            <v>248.42234611276908</v>
          </cell>
        </row>
        <row r="53">
          <cell r="F53" t="str">
            <v>ELEMENTOS DE PROTECCIÓN Y CONTROL</v>
          </cell>
        </row>
        <row r="55">
          <cell r="E55">
            <v>0</v>
          </cell>
          <cell r="F55" t="str">
            <v>Válvula Eléctrica 3" Repco Aluminio c/RF</v>
          </cell>
          <cell r="G55">
            <v>109935</v>
          </cell>
          <cell r="I55">
            <v>0</v>
          </cell>
          <cell r="J55">
            <v>0</v>
          </cell>
          <cell r="K55">
            <v>0</v>
          </cell>
        </row>
        <row r="56">
          <cell r="E56">
            <v>5</v>
          </cell>
          <cell r="F56" t="str">
            <v>Válvula Eléctrica 2" c/RF Baccara</v>
          </cell>
          <cell r="G56">
            <v>44769</v>
          </cell>
          <cell r="I56">
            <v>0</v>
          </cell>
          <cell r="J56">
            <v>223845</v>
          </cell>
          <cell r="K56">
            <v>0</v>
          </cell>
        </row>
        <row r="57">
          <cell r="E57">
            <v>14</v>
          </cell>
          <cell r="F57" t="str">
            <v>Válvula Eléctrica 1 1/2" c/RF Baccara</v>
          </cell>
          <cell r="G57">
            <v>38329.5</v>
          </cell>
          <cell r="I57">
            <v>0</v>
          </cell>
          <cell r="J57">
            <v>536613</v>
          </cell>
          <cell r="K57">
            <v>0</v>
          </cell>
        </row>
        <row r="58">
          <cell r="E58">
            <v>10</v>
          </cell>
          <cell r="F58" t="str">
            <v>Válvula Eléctrica 1" Hunter PGV 101-G con RF</v>
          </cell>
          <cell r="G58">
            <v>14357</v>
          </cell>
          <cell r="I58">
            <v>0</v>
          </cell>
          <cell r="J58">
            <v>143570</v>
          </cell>
          <cell r="K58">
            <v>0</v>
          </cell>
        </row>
        <row r="60">
          <cell r="E60">
            <v>0</v>
          </cell>
          <cell r="F60" t="str">
            <v>Válvula de Bola Bronce 3"</v>
          </cell>
          <cell r="G60">
            <v>30337.64235149277</v>
          </cell>
          <cell r="I60">
            <v>0</v>
          </cell>
          <cell r="J60">
            <v>0</v>
          </cell>
          <cell r="K60">
            <v>0</v>
          </cell>
        </row>
        <row r="61">
          <cell r="E61">
            <v>0</v>
          </cell>
          <cell r="F61" t="str">
            <v>Válvula de Bola Bronce 2 1/2"</v>
          </cell>
          <cell r="G61">
            <v>22488.765774084335</v>
          </cell>
          <cell r="I61">
            <v>0</v>
          </cell>
          <cell r="J61">
            <v>0</v>
          </cell>
          <cell r="K61">
            <v>0</v>
          </cell>
        </row>
        <row r="62">
          <cell r="E62">
            <v>0</v>
          </cell>
          <cell r="F62" t="str">
            <v>Válvula de Bola Bronce 2"</v>
          </cell>
          <cell r="G62">
            <v>10089.566020313941</v>
          </cell>
          <cell r="I62">
            <v>0</v>
          </cell>
          <cell r="J62">
            <v>0</v>
          </cell>
          <cell r="K62">
            <v>0</v>
          </cell>
        </row>
        <row r="63">
          <cell r="E63">
            <v>0</v>
          </cell>
          <cell r="F63" t="str">
            <v>Válvula de Bola Bronce 1 1/2"</v>
          </cell>
          <cell r="G63">
            <v>6502.3084025854105</v>
          </cell>
          <cell r="I63">
            <v>0</v>
          </cell>
          <cell r="J63">
            <v>0</v>
          </cell>
          <cell r="K63">
            <v>0</v>
          </cell>
        </row>
        <row r="64">
          <cell r="E64">
            <v>0</v>
          </cell>
          <cell r="F64" t="str">
            <v>Válvula de Bola Bronce 1 1/4"</v>
          </cell>
          <cell r="G64">
            <v>4731.3019390581712</v>
          </cell>
          <cell r="I64">
            <v>0</v>
          </cell>
          <cell r="J64">
            <v>0</v>
          </cell>
          <cell r="K64">
            <v>0</v>
          </cell>
        </row>
        <row r="65">
          <cell r="E65">
            <v>0</v>
          </cell>
          <cell r="F65" t="str">
            <v>Válvula de Bola Bronce 1"</v>
          </cell>
          <cell r="G65">
            <v>2690.9818405663282</v>
          </cell>
          <cell r="I65">
            <v>0</v>
          </cell>
          <cell r="J65">
            <v>0</v>
          </cell>
          <cell r="K65">
            <v>0</v>
          </cell>
        </row>
        <row r="66">
          <cell r="E66">
            <v>0</v>
          </cell>
          <cell r="F66" t="str">
            <v>Válvula de Bola Bronce 3/4"</v>
          </cell>
          <cell r="G66">
            <v>1676.208064019698</v>
          </cell>
          <cell r="I66">
            <v>0</v>
          </cell>
          <cell r="J66">
            <v>0</v>
          </cell>
          <cell r="K66">
            <v>0</v>
          </cell>
        </row>
        <row r="67">
          <cell r="E67">
            <v>0</v>
          </cell>
          <cell r="F67" t="str">
            <v>Válvula de Bola Bronce 1/2"</v>
          </cell>
          <cell r="G67">
            <v>1141.8898122499229</v>
          </cell>
          <cell r="I67">
            <v>0</v>
          </cell>
          <cell r="J67">
            <v>0</v>
          </cell>
          <cell r="K67">
            <v>0</v>
          </cell>
        </row>
        <row r="69">
          <cell r="E69">
            <v>0</v>
          </cell>
          <cell r="F69" t="str">
            <v>Válvula de regulación 3"</v>
          </cell>
          <cell r="G69">
            <v>30337.64235149277</v>
          </cell>
          <cell r="I69">
            <v>0</v>
          </cell>
          <cell r="J69">
            <v>0</v>
          </cell>
          <cell r="K69">
            <v>0</v>
          </cell>
        </row>
        <row r="70">
          <cell r="E70">
            <v>0</v>
          </cell>
          <cell r="F70" t="str">
            <v>Válvula de regulación 2 1/2"</v>
          </cell>
          <cell r="G70">
            <v>22488.765774084335</v>
          </cell>
          <cell r="I70">
            <v>0</v>
          </cell>
          <cell r="J70">
            <v>0</v>
          </cell>
          <cell r="K70">
            <v>0</v>
          </cell>
        </row>
        <row r="71">
          <cell r="E71">
            <v>0</v>
          </cell>
          <cell r="F71" t="str">
            <v>Válvula de regulación 2"</v>
          </cell>
          <cell r="G71">
            <v>10089.566020313941</v>
          </cell>
          <cell r="I71">
            <v>0</v>
          </cell>
          <cell r="J71">
            <v>0</v>
          </cell>
          <cell r="K71">
            <v>0</v>
          </cell>
        </row>
        <row r="72">
          <cell r="E72">
            <v>0</v>
          </cell>
          <cell r="F72" t="str">
            <v>Válvula de regulación 1 1/2"</v>
          </cell>
          <cell r="G72">
            <v>6502.3084025854105</v>
          </cell>
          <cell r="I72">
            <v>0</v>
          </cell>
          <cell r="J72">
            <v>0</v>
          </cell>
          <cell r="K72">
            <v>0</v>
          </cell>
        </row>
        <row r="73">
          <cell r="E73">
            <v>0</v>
          </cell>
          <cell r="F73" t="str">
            <v>Válvula de regulación 1 1/4"</v>
          </cell>
          <cell r="G73">
            <v>4731.3019390581712</v>
          </cell>
          <cell r="I73">
            <v>0</v>
          </cell>
          <cell r="J73">
            <v>0</v>
          </cell>
          <cell r="K73">
            <v>0</v>
          </cell>
        </row>
        <row r="74">
          <cell r="E74">
            <v>0</v>
          </cell>
          <cell r="F74" t="str">
            <v>Válvula de regulación 1"</v>
          </cell>
          <cell r="G74">
            <v>2690.9818405663282</v>
          </cell>
          <cell r="I74">
            <v>0</v>
          </cell>
          <cell r="J74">
            <v>0</v>
          </cell>
          <cell r="K74">
            <v>0</v>
          </cell>
        </row>
        <row r="75">
          <cell r="E75">
            <v>0</v>
          </cell>
          <cell r="F75" t="str">
            <v>Válvula de regulación 3/4"</v>
          </cell>
          <cell r="G75">
            <v>1676.208064019698</v>
          </cell>
          <cell r="I75">
            <v>0</v>
          </cell>
          <cell r="J75">
            <v>0</v>
          </cell>
          <cell r="K75">
            <v>0</v>
          </cell>
        </row>
        <row r="76">
          <cell r="E76">
            <v>0</v>
          </cell>
          <cell r="F76" t="str">
            <v>Válvula de regulación 1/2"</v>
          </cell>
          <cell r="G76">
            <v>1141.8898122499229</v>
          </cell>
          <cell r="I76">
            <v>0</v>
          </cell>
          <cell r="J76">
            <v>0</v>
          </cell>
          <cell r="K76">
            <v>0</v>
          </cell>
        </row>
        <row r="78">
          <cell r="E78">
            <v>29</v>
          </cell>
          <cell r="F78" t="str">
            <v>Válvula control presión</v>
          </cell>
          <cell r="G78">
            <v>1385</v>
          </cell>
          <cell r="I78">
            <v>0</v>
          </cell>
          <cell r="J78">
            <v>40165</v>
          </cell>
          <cell r="K78">
            <v>0</v>
          </cell>
        </row>
        <row r="79">
          <cell r="E79">
            <v>0</v>
          </cell>
          <cell r="F79" t="str">
            <v>Válvula antivacío 2" Unirain</v>
          </cell>
          <cell r="G79">
            <v>21032.2</v>
          </cell>
          <cell r="I79">
            <v>0</v>
          </cell>
          <cell r="J79">
            <v>0</v>
          </cell>
          <cell r="K79">
            <v>0</v>
          </cell>
        </row>
        <row r="80">
          <cell r="E80">
            <v>0</v>
          </cell>
          <cell r="F80" t="str">
            <v>Válvula antivacío 1 1/2"</v>
          </cell>
          <cell r="G80">
            <v>12353</v>
          </cell>
          <cell r="I80">
            <v>0</v>
          </cell>
          <cell r="J80">
            <v>0</v>
          </cell>
          <cell r="K80">
            <v>0</v>
          </cell>
        </row>
        <row r="81">
          <cell r="E81">
            <v>8</v>
          </cell>
          <cell r="F81" t="str">
            <v>Válvula antivacío 1"</v>
          </cell>
          <cell r="G81">
            <v>9735</v>
          </cell>
          <cell r="I81">
            <v>0</v>
          </cell>
          <cell r="J81">
            <v>77880</v>
          </cell>
          <cell r="K81">
            <v>0</v>
          </cell>
        </row>
        <row r="82">
          <cell r="E82">
            <v>29</v>
          </cell>
          <cell r="F82" t="str">
            <v>Válvula antivacío 1/2"</v>
          </cell>
          <cell r="G82">
            <v>3770</v>
          </cell>
          <cell r="I82">
            <v>0</v>
          </cell>
          <cell r="J82">
            <v>109330</v>
          </cell>
          <cell r="K82">
            <v>0</v>
          </cell>
        </row>
        <row r="84">
          <cell r="F84" t="str">
            <v>SUBTOTAL ELEMENTOS DE PROTECCIÓN Y CONTROL</v>
          </cell>
          <cell r="J84">
            <v>1131403</v>
          </cell>
          <cell r="K84">
            <v>0</v>
          </cell>
          <cell r="L84" t="str">
            <v>U$/Ha=</v>
          </cell>
          <cell r="M84">
            <v>134.85458532980525</v>
          </cell>
        </row>
        <row r="86">
          <cell r="E86" t="str">
            <v>Cantidad</v>
          </cell>
          <cell r="F86" t="str">
            <v>Descripción</v>
          </cell>
          <cell r="G86" t="str">
            <v>V. Unitario $</v>
          </cell>
          <cell r="I86" t="str">
            <v>V. Unitario U$</v>
          </cell>
          <cell r="J86" t="str">
            <v>V. Total $</v>
          </cell>
          <cell r="K86" t="str">
            <v>V. Total U$</v>
          </cell>
        </row>
        <row r="87">
          <cell r="F87" t="str">
            <v>CASETA</v>
          </cell>
        </row>
        <row r="89">
          <cell r="E89">
            <v>0</v>
          </cell>
          <cell r="F89" t="str">
            <v>Bomba VOGT N 629 d=200 mm FMS (Nacional) con motor 15 Hp.  H = 58 mca. ; Q = 50 m3/h.   FUNDICIÓN NODULAR: Presión máxima= 126 mca</v>
          </cell>
          <cell r="G89">
            <v>879394</v>
          </cell>
          <cell r="I89">
            <v>0</v>
          </cell>
          <cell r="J89">
            <v>0</v>
          </cell>
          <cell r="K89">
            <v>0</v>
          </cell>
        </row>
        <row r="90">
          <cell r="E90">
            <v>0</v>
          </cell>
          <cell r="F90" t="str">
            <v>Bomba VOGT N 629 d=160 mm FMS (Nacional) con motor 10 Hp.  H = 34 mca. ; Q = 50 m3/h.   FUNDICIÓN NORMAL</v>
          </cell>
          <cell r="G90">
            <v>610259</v>
          </cell>
          <cell r="I90">
            <v>0</v>
          </cell>
          <cell r="J90">
            <v>0</v>
          </cell>
          <cell r="K90">
            <v>0</v>
          </cell>
        </row>
        <row r="92">
          <cell r="E92">
            <v>0</v>
          </cell>
          <cell r="F92" t="str">
            <v>Tablero control motor 2x10 + 15 Hp con 5 estaciones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E93">
            <v>1</v>
          </cell>
          <cell r="F93" t="str">
            <v>Modificación tablero agragando 2 estaciones</v>
          </cell>
          <cell r="G93">
            <v>60000</v>
          </cell>
          <cell r="I93">
            <v>0</v>
          </cell>
          <cell r="J93">
            <v>60000</v>
          </cell>
          <cell r="K93">
            <v>0</v>
          </cell>
        </row>
        <row r="94">
          <cell r="E94">
            <v>0</v>
          </cell>
          <cell r="F94" t="str">
            <v>Filtro arena 2x30", automático, con filtro de mallas de seguridad en 4"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E95">
            <v>0</v>
          </cell>
          <cell r="F95" t="str">
            <v>Filtro anillas 2x3", automático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E96">
            <v>0</v>
          </cell>
          <cell r="F96" t="str">
            <v>Filtro mallas acero 4"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E97">
            <v>0</v>
          </cell>
          <cell r="F97" t="str">
            <v>Programador Netafim Miracle 6 estaciones, sin caja ni transformador.</v>
          </cell>
          <cell r="G97">
            <v>0</v>
          </cell>
          <cell r="I97">
            <v>133</v>
          </cell>
          <cell r="J97">
            <v>0</v>
          </cell>
          <cell r="K97">
            <v>0</v>
          </cell>
        </row>
        <row r="98">
          <cell r="E98">
            <v>0</v>
          </cell>
          <cell r="F98" t="str">
            <v>mts. cable unipolar 1,5 mm2</v>
          </cell>
          <cell r="G98">
            <v>45</v>
          </cell>
          <cell r="I98">
            <v>0</v>
          </cell>
          <cell r="J98">
            <v>0</v>
          </cell>
          <cell r="K98">
            <v>0</v>
          </cell>
        </row>
        <row r="99">
          <cell r="E99">
            <v>6200</v>
          </cell>
          <cell r="F99" t="str">
            <v>mts. cable unipolar 2,5 mm2</v>
          </cell>
          <cell r="G99">
            <v>91</v>
          </cell>
          <cell r="I99">
            <v>0</v>
          </cell>
          <cell r="J99">
            <v>564200</v>
          </cell>
          <cell r="K99">
            <v>0</v>
          </cell>
        </row>
        <row r="100">
          <cell r="E100">
            <v>1</v>
          </cell>
          <cell r="F100" t="str">
            <v>Manómetro con adaptador</v>
          </cell>
          <cell r="G100">
            <v>7222.8</v>
          </cell>
          <cell r="I100">
            <v>21</v>
          </cell>
          <cell r="J100">
            <v>7222.8</v>
          </cell>
          <cell r="K100">
            <v>21</v>
          </cell>
        </row>
        <row r="101">
          <cell r="E101">
            <v>0</v>
          </cell>
          <cell r="F101" t="str">
            <v>Guardanivel MAC5</v>
          </cell>
          <cell r="G101">
            <v>9373</v>
          </cell>
          <cell r="I101">
            <v>0</v>
          </cell>
          <cell r="J101">
            <v>0</v>
          </cell>
          <cell r="K101">
            <v>0</v>
          </cell>
        </row>
        <row r="102">
          <cell r="E102">
            <v>0</v>
          </cell>
          <cell r="F102" t="str">
            <v>Kit Venturi Mazzei 1078, estanque. 200 lt.</v>
          </cell>
          <cell r="G102">
            <v>16500</v>
          </cell>
          <cell r="I102">
            <v>320</v>
          </cell>
          <cell r="J102">
            <v>0</v>
          </cell>
          <cell r="K102">
            <v>0</v>
          </cell>
        </row>
        <row r="103">
          <cell r="E103" t="str">
            <v>Gl</v>
          </cell>
          <cell r="F103" t="str">
            <v>Fitting Caseta en 4"</v>
          </cell>
          <cell r="G103" t="str">
            <v/>
          </cell>
          <cell r="J103">
            <v>0</v>
          </cell>
          <cell r="K103">
            <v>0</v>
          </cell>
        </row>
        <row r="105">
          <cell r="F105" t="str">
            <v>SUBTOTAL CASETA</v>
          </cell>
          <cell r="J105">
            <v>631422.80000000005</v>
          </cell>
          <cell r="K105">
            <v>21</v>
          </cell>
          <cell r="L105" t="str">
            <v>U$/Ha=</v>
          </cell>
          <cell r="M105">
            <v>77.040430046008254</v>
          </cell>
        </row>
        <row r="106">
          <cell r="F106" t="str">
            <v>TOTAL SUMINISTRO</v>
          </cell>
          <cell r="I106" t="str">
            <v/>
          </cell>
          <cell r="J106">
            <v>5635736.0542981252</v>
          </cell>
          <cell r="K106">
            <v>782.46122448979622</v>
          </cell>
          <cell r="L106" t="str">
            <v>U$/Ha=</v>
          </cell>
          <cell r="M106">
            <v>738.04691231142226</v>
          </cell>
        </row>
        <row r="107">
          <cell r="F107" t="str">
            <v>DISEÑO</v>
          </cell>
        </row>
        <row r="109">
          <cell r="E109" t="str">
            <v>Gl</v>
          </cell>
          <cell r="F109" t="str">
            <v>Costo fijo</v>
          </cell>
          <cell r="J109">
            <v>0</v>
          </cell>
          <cell r="K109">
            <v>0</v>
          </cell>
        </row>
        <row r="110">
          <cell r="E110">
            <v>11.8</v>
          </cell>
          <cell r="F110" t="str">
            <v>Costo variable por Há</v>
          </cell>
          <cell r="G110">
            <v>42660</v>
          </cell>
          <cell r="I110">
            <v>0</v>
          </cell>
          <cell r="J110">
            <v>503388.00000000006</v>
          </cell>
          <cell r="K110">
            <v>0</v>
          </cell>
        </row>
        <row r="112">
          <cell r="E112">
            <v>0</v>
          </cell>
          <cell r="F112" t="str">
            <v>Días Ingeniero</v>
          </cell>
          <cell r="G112">
            <v>150000</v>
          </cell>
          <cell r="I112">
            <v>0</v>
          </cell>
          <cell r="J112">
            <v>0</v>
          </cell>
          <cell r="K112">
            <v>0</v>
          </cell>
        </row>
        <row r="113">
          <cell r="E113">
            <v>0</v>
          </cell>
          <cell r="F113" t="str">
            <v>Días Dibujante</v>
          </cell>
          <cell r="G113">
            <v>50000</v>
          </cell>
          <cell r="I113">
            <v>0</v>
          </cell>
          <cell r="J113">
            <v>0</v>
          </cell>
          <cell r="K113">
            <v>0</v>
          </cell>
        </row>
        <row r="114">
          <cell r="E114">
            <v>0</v>
          </cell>
          <cell r="F114" t="str">
            <v>Días Ayudante</v>
          </cell>
          <cell r="G114">
            <v>35000</v>
          </cell>
          <cell r="I114">
            <v>0</v>
          </cell>
          <cell r="J114">
            <v>0</v>
          </cell>
          <cell r="K114">
            <v>0</v>
          </cell>
        </row>
        <row r="115">
          <cell r="E115" t="str">
            <v>Gl</v>
          </cell>
          <cell r="F115" t="str">
            <v>Costo fijo</v>
          </cell>
          <cell r="J115">
            <v>0</v>
          </cell>
          <cell r="K115">
            <v>0</v>
          </cell>
        </row>
        <row r="117">
          <cell r="F117" t="str">
            <v>SUBTOTAL DISEÑO</v>
          </cell>
          <cell r="J117">
            <v>503388.00000000006</v>
          </cell>
          <cell r="K117">
            <v>0</v>
          </cell>
          <cell r="L117" t="str">
            <v>U$/Ha=</v>
          </cell>
          <cell r="M117">
            <v>60.000000000000007</v>
          </cell>
        </row>
        <row r="118">
          <cell r="F118" t="str">
            <v>INSTALACIÓN Y FLETES</v>
          </cell>
        </row>
        <row r="120">
          <cell r="E120">
            <v>11.8</v>
          </cell>
          <cell r="F120" t="str">
            <v>hás montaje cerro</v>
          </cell>
          <cell r="G120">
            <v>74000</v>
          </cell>
          <cell r="I120">
            <v>0</v>
          </cell>
          <cell r="J120">
            <v>873200</v>
          </cell>
          <cell r="K120">
            <v>0</v>
          </cell>
        </row>
        <row r="121">
          <cell r="E121">
            <v>0.5</v>
          </cell>
          <cell r="F121" t="str">
            <v>Días Soldador</v>
          </cell>
          <cell r="G121">
            <v>48400</v>
          </cell>
          <cell r="I121">
            <v>0</v>
          </cell>
          <cell r="J121">
            <v>24200</v>
          </cell>
          <cell r="K121">
            <v>0</v>
          </cell>
        </row>
        <row r="122">
          <cell r="E122">
            <v>0</v>
          </cell>
          <cell r="F122" t="str">
            <v>Días Soldadora rotativa</v>
          </cell>
          <cell r="G122">
            <v>15400</v>
          </cell>
          <cell r="I122">
            <v>0</v>
          </cell>
          <cell r="J122">
            <v>0</v>
          </cell>
          <cell r="K122">
            <v>0</v>
          </cell>
        </row>
        <row r="123">
          <cell r="E123">
            <v>0.5</v>
          </cell>
          <cell r="F123" t="str">
            <v>Días Eléctrico</v>
          </cell>
          <cell r="G123">
            <v>46200</v>
          </cell>
          <cell r="I123">
            <v>0</v>
          </cell>
          <cell r="J123">
            <v>23100</v>
          </cell>
          <cell r="K123">
            <v>0</v>
          </cell>
        </row>
        <row r="124">
          <cell r="E124">
            <v>2</v>
          </cell>
          <cell r="F124" t="str">
            <v>Días Supervisor</v>
          </cell>
          <cell r="G124">
            <v>82500</v>
          </cell>
          <cell r="I124">
            <v>0</v>
          </cell>
          <cell r="J124">
            <v>165000</v>
          </cell>
          <cell r="K124">
            <v>0</v>
          </cell>
        </row>
        <row r="125">
          <cell r="E125">
            <v>1</v>
          </cell>
          <cell r="F125" t="str">
            <v>Fletes</v>
          </cell>
          <cell r="G125">
            <v>80000</v>
          </cell>
          <cell r="I125">
            <v>0</v>
          </cell>
          <cell r="J125">
            <v>80000</v>
          </cell>
          <cell r="K125">
            <v>0</v>
          </cell>
        </row>
        <row r="126">
          <cell r="E126">
            <v>600</v>
          </cell>
          <cell r="F126" t="str">
            <v>Km de Camioneta</v>
          </cell>
          <cell r="G126">
            <v>250</v>
          </cell>
          <cell r="I126">
            <v>0</v>
          </cell>
          <cell r="J126">
            <v>150000</v>
          </cell>
          <cell r="K126">
            <v>0</v>
          </cell>
        </row>
        <row r="128">
          <cell r="F128" t="str">
            <v>SUBTOTAL INSTALACIÓN Y FLETES</v>
          </cell>
          <cell r="J128">
            <v>1315500</v>
          </cell>
          <cell r="K128">
            <v>0</v>
          </cell>
          <cell r="L128" t="str">
            <v>U$/Ha=</v>
          </cell>
          <cell r="M128">
            <v>156.79753986984193</v>
          </cell>
        </row>
        <row r="129">
          <cell r="F129" t="str">
            <v>TOTAL NETO</v>
          </cell>
          <cell r="I129" t="str">
            <v/>
          </cell>
          <cell r="J129">
            <v>7454624.0542981252</v>
          </cell>
          <cell r="K129">
            <v>782.46122448979622</v>
          </cell>
          <cell r="L129" t="str">
            <v>U$/Ha=</v>
          </cell>
          <cell r="M129">
            <v>954.84445218126405</v>
          </cell>
        </row>
        <row r="132">
          <cell r="F132" t="str">
            <v>PARTIDA</v>
          </cell>
          <cell r="G132" t="str">
            <v>$</v>
          </cell>
          <cell r="I132" t="str">
            <v>$</v>
          </cell>
          <cell r="J132" t="str">
            <v>+     US$</v>
          </cell>
          <cell r="K132" t="str">
            <v>Descuento</v>
          </cell>
          <cell r="L132" t="str">
            <v>Factor</v>
          </cell>
          <cell r="N132" t="str">
            <v>$</v>
          </cell>
        </row>
        <row r="133">
          <cell r="F133" t="str">
            <v>Tuberías de PVC</v>
          </cell>
          <cell r="G133">
            <v>1262135</v>
          </cell>
          <cell r="I133">
            <v>1262135</v>
          </cell>
          <cell r="J133">
            <v>0</v>
          </cell>
          <cell r="K133">
            <v>35</v>
          </cell>
          <cell r="L133">
            <v>0.65</v>
          </cell>
          <cell r="M133">
            <v>-7.1753813973940983E-2</v>
          </cell>
          <cell r="N133">
            <v>1352698</v>
          </cell>
        </row>
        <row r="134">
          <cell r="F134" t="str">
            <v>Piezas especiales PVC</v>
          </cell>
          <cell r="G134">
            <v>349514</v>
          </cell>
          <cell r="I134">
            <v>349514</v>
          </cell>
          <cell r="J134">
            <v>0</v>
          </cell>
          <cell r="K134">
            <v>10</v>
          </cell>
          <cell r="L134">
            <v>0.9</v>
          </cell>
          <cell r="M134">
            <v>0.18999811166362435</v>
          </cell>
          <cell r="N134">
            <v>283107</v>
          </cell>
        </row>
        <row r="135">
          <cell r="F135" t="str">
            <v>Laterales de polietileno</v>
          </cell>
          <cell r="G135">
            <v>851117</v>
          </cell>
          <cell r="I135">
            <v>851117</v>
          </cell>
          <cell r="J135">
            <v>0</v>
          </cell>
          <cell r="K135">
            <v>10</v>
          </cell>
          <cell r="L135">
            <v>0.9</v>
          </cell>
          <cell r="M135">
            <v>0.20833328437805848</v>
          </cell>
          <cell r="N135">
            <v>673801</v>
          </cell>
        </row>
        <row r="136">
          <cell r="F136" t="str">
            <v>Goteros</v>
          </cell>
          <cell r="G136">
            <v>916541</v>
          </cell>
          <cell r="I136">
            <v>429506</v>
          </cell>
          <cell r="J136">
            <v>685</v>
          </cell>
          <cell r="K136">
            <v>10</v>
          </cell>
          <cell r="L136">
            <v>0.9</v>
          </cell>
          <cell r="M136">
            <v>0.20778339430532838</v>
          </cell>
          <cell r="N136">
            <v>340026</v>
          </cell>
        </row>
        <row r="137">
          <cell r="F137" t="str">
            <v>Microaspersores</v>
          </cell>
          <cell r="G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 t="str">
            <v/>
          </cell>
          <cell r="N137">
            <v>0</v>
          </cell>
        </row>
        <row r="138">
          <cell r="F138" t="str">
            <v>Chicotes</v>
          </cell>
          <cell r="G138">
            <v>107910</v>
          </cell>
          <cell r="I138">
            <v>107910</v>
          </cell>
          <cell r="J138">
            <v>0</v>
          </cell>
          <cell r="K138">
            <v>10</v>
          </cell>
          <cell r="L138">
            <v>0.9</v>
          </cell>
          <cell r="M138">
            <v>0.20833101658789735</v>
          </cell>
          <cell r="N138">
            <v>85429</v>
          </cell>
        </row>
        <row r="139">
          <cell r="F139" t="str">
            <v>Válvulas eléctricas</v>
          </cell>
          <cell r="G139">
            <v>904028</v>
          </cell>
          <cell r="I139">
            <v>904028</v>
          </cell>
          <cell r="J139">
            <v>0</v>
          </cell>
          <cell r="K139">
            <v>0</v>
          </cell>
          <cell r="L139">
            <v>1</v>
          </cell>
          <cell r="M139">
            <v>0.10000022123208574</v>
          </cell>
          <cell r="N139">
            <v>813625</v>
          </cell>
        </row>
        <row r="140">
          <cell r="F140" t="str">
            <v>Válvulas de bola y compuerta</v>
          </cell>
          <cell r="G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 t="str">
            <v/>
          </cell>
          <cell r="N140">
            <v>0</v>
          </cell>
        </row>
        <row r="141">
          <cell r="F141" t="str">
            <v>Válvulas antivacío y control</v>
          </cell>
          <cell r="G141">
            <v>227375</v>
          </cell>
          <cell r="I141">
            <v>227375</v>
          </cell>
          <cell r="J141">
            <v>0</v>
          </cell>
          <cell r="K141">
            <v>0</v>
          </cell>
          <cell r="L141">
            <v>1</v>
          </cell>
          <cell r="M141">
            <v>0.28749862561847167</v>
          </cell>
          <cell r="N141">
            <v>162005</v>
          </cell>
        </row>
        <row r="142">
          <cell r="F142" t="str">
            <v>Equipo de bombeo</v>
          </cell>
          <cell r="G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 t="str">
            <v/>
          </cell>
          <cell r="N142">
            <v>0</v>
          </cell>
        </row>
        <row r="143">
          <cell r="F143" t="str">
            <v>Tablero</v>
          </cell>
          <cell r="G143">
            <v>0</v>
          </cell>
          <cell r="I143">
            <v>0</v>
          </cell>
          <cell r="J143">
            <v>0</v>
          </cell>
          <cell r="K143">
            <v>10</v>
          </cell>
          <cell r="L143">
            <v>0.9</v>
          </cell>
          <cell r="M143" t="str">
            <v/>
          </cell>
          <cell r="N143">
            <v>0</v>
          </cell>
        </row>
        <row r="144">
          <cell r="F144" t="str">
            <v>Filtro</v>
          </cell>
          <cell r="G144">
            <v>0</v>
          </cell>
          <cell r="I144">
            <v>0</v>
          </cell>
          <cell r="J144">
            <v>0</v>
          </cell>
          <cell r="K144">
            <v>10</v>
          </cell>
          <cell r="L144">
            <v>0.9</v>
          </cell>
          <cell r="M144" t="str">
            <v/>
          </cell>
          <cell r="N144">
            <v>0</v>
          </cell>
        </row>
        <row r="145">
          <cell r="F145" t="str">
            <v>Programador</v>
          </cell>
          <cell r="G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 t="str">
            <v/>
          </cell>
          <cell r="N145">
            <v>0</v>
          </cell>
        </row>
        <row r="146">
          <cell r="F146" t="str">
            <v>Cables de señal</v>
          </cell>
          <cell r="G146">
            <v>507780</v>
          </cell>
          <cell r="I146">
            <v>507780</v>
          </cell>
          <cell r="J146">
            <v>0</v>
          </cell>
          <cell r="K146">
            <v>10</v>
          </cell>
          <cell r="L146">
            <v>0.9</v>
          </cell>
          <cell r="M146">
            <v>0.14444444444444443</v>
          </cell>
          <cell r="N146">
            <v>434434</v>
          </cell>
        </row>
        <row r="147">
          <cell r="F147" t="str">
            <v>Venturi y otros elementos caseta</v>
          </cell>
          <cell r="G147">
            <v>22154</v>
          </cell>
          <cell r="I147">
            <v>7223</v>
          </cell>
          <cell r="J147">
            <v>21</v>
          </cell>
          <cell r="K147">
            <v>0</v>
          </cell>
          <cell r="L147">
            <v>1</v>
          </cell>
          <cell r="M147">
            <v>0.28631398393066715</v>
          </cell>
          <cell r="N147">
            <v>5146</v>
          </cell>
        </row>
        <row r="148">
          <cell r="F148" t="str">
            <v>Válvulas y piezas de acero caseta</v>
          </cell>
          <cell r="G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0.9</v>
          </cell>
          <cell r="M148" t="str">
            <v/>
          </cell>
          <cell r="N148">
            <v>0</v>
          </cell>
        </row>
        <row r="149">
          <cell r="F149" t="str">
            <v xml:space="preserve">TOTAL NETO SUMINISTRO </v>
          </cell>
          <cell r="G149">
            <v>5148554</v>
          </cell>
          <cell r="I149">
            <v>4646588</v>
          </cell>
          <cell r="J149">
            <v>706</v>
          </cell>
          <cell r="K149" t="str">
            <v>U$/HA=</v>
          </cell>
          <cell r="L149">
            <v>613.66826384419176</v>
          </cell>
          <cell r="M149">
            <v>0.11683765966133403</v>
          </cell>
          <cell r="N149">
            <v>4150271</v>
          </cell>
        </row>
        <row r="150">
          <cell r="F150" t="str">
            <v>Proyecto</v>
          </cell>
          <cell r="G150">
            <v>503388.00000000006</v>
          </cell>
          <cell r="I150">
            <v>503388.00000000006</v>
          </cell>
          <cell r="K150" t="str">
            <v>U$/HA=</v>
          </cell>
          <cell r="L150">
            <v>60.000000000000007</v>
          </cell>
          <cell r="M150">
            <v>1.1563180074508609E-16</v>
          </cell>
          <cell r="N150">
            <v>503388</v>
          </cell>
        </row>
        <row r="151">
          <cell r="F151" t="str">
            <v>Fletes y montaje</v>
          </cell>
          <cell r="G151">
            <v>1315500</v>
          </cell>
          <cell r="I151">
            <v>1315500</v>
          </cell>
          <cell r="J151">
            <v>0</v>
          </cell>
          <cell r="K151" t="str">
            <v>U$/HA=</v>
          </cell>
          <cell r="L151">
            <v>156.79753986984193</v>
          </cell>
          <cell r="M151">
            <v>0.3</v>
          </cell>
          <cell r="N151">
            <v>920850</v>
          </cell>
        </row>
        <row r="152">
          <cell r="F152" t="str">
            <v>TOTAL NETO SISTEMA</v>
          </cell>
          <cell r="G152">
            <v>6967442</v>
          </cell>
          <cell r="I152">
            <v>6465476</v>
          </cell>
          <cell r="J152">
            <v>706</v>
          </cell>
          <cell r="K152" t="str">
            <v>U$/HA=</v>
          </cell>
          <cell r="L152">
            <v>830.46580371403365</v>
          </cell>
          <cell r="M152">
            <v>0.14297858525410043</v>
          </cell>
          <cell r="N152">
            <v>5574509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1000000"/>
      <sheetName val="ANTEPROYECTO"/>
      <sheetName val="BASES"/>
      <sheetName val="BLOQUES"/>
      <sheetName val="PRESU solo red de riego"/>
      <sheetName val="PRESU con refuerzo cabezal"/>
      <sheetName val="PARTES"/>
      <sheetName val="FITTINGS PVC"/>
      <sheetName val="Fittings Caseta"/>
      <sheetName val="CPCC"/>
      <sheetName val="MATRIZ"/>
      <sheetName val="PROFORMA"/>
      <sheetName val="Cotización"/>
      <sheetName val="ARIETE"/>
      <sheetName val="IMPU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8">
          <cell r="E8" t="str">
            <v>Cantidad</v>
          </cell>
          <cell r="F8" t="str">
            <v>Descripción</v>
          </cell>
          <cell r="G8" t="str">
            <v>V. Unitario</v>
          </cell>
          <cell r="I8" t="str">
            <v>V. Unitario</v>
          </cell>
          <cell r="J8" t="str">
            <v>V. Total</v>
          </cell>
          <cell r="K8" t="str">
            <v>V. Total</v>
          </cell>
          <cell r="L8" t="str">
            <v>Hás=</v>
          </cell>
          <cell r="M8">
            <v>11.8</v>
          </cell>
        </row>
        <row r="9">
          <cell r="G9" t="str">
            <v xml:space="preserve">    $</v>
          </cell>
          <cell r="I9" t="str">
            <v xml:space="preserve"> US$</v>
          </cell>
          <cell r="J9" t="str">
            <v xml:space="preserve">    $</v>
          </cell>
          <cell r="K9" t="str">
            <v xml:space="preserve">   US$</v>
          </cell>
          <cell r="L9" t="str">
            <v>Tasa/C=</v>
          </cell>
          <cell r="M9">
            <v>711</v>
          </cell>
        </row>
        <row r="10">
          <cell r="F10" t="str">
            <v>TUBERÍAS</v>
          </cell>
          <cell r="G10" t="str">
            <v>Matriz=</v>
          </cell>
          <cell r="I10">
            <v>63.002542372881351</v>
          </cell>
          <cell r="J10" t="str">
            <v>S.Matriz=</v>
          </cell>
          <cell r="K10">
            <v>0</v>
          </cell>
          <cell r="L10" t="str">
            <v>Kg/há=</v>
          </cell>
          <cell r="M10">
            <v>63.002542372881351</v>
          </cell>
        </row>
        <row r="11">
          <cell r="E11" t="str">
            <v/>
          </cell>
        </row>
        <row r="12">
          <cell r="E12">
            <v>0</v>
          </cell>
          <cell r="F12" t="str">
            <v>mts. PVC 125 mm Cl-16</v>
          </cell>
          <cell r="G12">
            <v>7259.2000000000007</v>
          </cell>
          <cell r="I12">
            <v>0</v>
          </cell>
          <cell r="J12">
            <v>0</v>
          </cell>
          <cell r="K12">
            <v>0</v>
          </cell>
        </row>
        <row r="13">
          <cell r="E13">
            <v>42</v>
          </cell>
          <cell r="F13" t="str">
            <v>mts. PVC  32 mm Cl-10</v>
          </cell>
          <cell r="G13">
            <v>346</v>
          </cell>
          <cell r="I13">
            <v>0</v>
          </cell>
          <cell r="J13">
            <v>14532</v>
          </cell>
          <cell r="K13">
            <v>0</v>
          </cell>
        </row>
        <row r="14">
          <cell r="E14">
            <v>180</v>
          </cell>
          <cell r="F14" t="str">
            <v>mts. PVC  40 mm Cl-10</v>
          </cell>
          <cell r="G14">
            <v>479</v>
          </cell>
          <cell r="I14">
            <v>0</v>
          </cell>
          <cell r="J14">
            <v>86220</v>
          </cell>
          <cell r="K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F15" t="str">
            <v>mts. PVC  50 mm Cl-10</v>
          </cell>
          <cell r="G15">
            <v>724</v>
          </cell>
          <cell r="I15">
            <v>0</v>
          </cell>
          <cell r="J15">
            <v>0</v>
          </cell>
          <cell r="K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W15">
            <v>0.56000000000000005</v>
          </cell>
          <cell r="Y15">
            <v>0</v>
          </cell>
          <cell r="Z15">
            <v>0</v>
          </cell>
          <cell r="AB15">
            <v>1292.8571428571427</v>
          </cell>
        </row>
        <row r="16">
          <cell r="B16">
            <v>0</v>
          </cell>
          <cell r="C16">
            <v>0</v>
          </cell>
          <cell r="E16">
            <v>0</v>
          </cell>
          <cell r="F16" t="str">
            <v>mts. PVC  63 mm Cl-10</v>
          </cell>
          <cell r="G16">
            <v>1156</v>
          </cell>
          <cell r="I16">
            <v>0</v>
          </cell>
          <cell r="J16">
            <v>0</v>
          </cell>
          <cell r="K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W16">
            <v>0.87</v>
          </cell>
          <cell r="Y16">
            <v>0</v>
          </cell>
          <cell r="Z16">
            <v>0</v>
          </cell>
          <cell r="AB16">
            <v>1328.7356321839081</v>
          </cell>
        </row>
        <row r="17">
          <cell r="B17">
            <v>126</v>
          </cell>
          <cell r="C17">
            <v>0</v>
          </cell>
          <cell r="E17">
            <v>126</v>
          </cell>
          <cell r="F17" t="str">
            <v>mts. PVC  75 mm Cl-10</v>
          </cell>
          <cell r="G17">
            <v>1652</v>
          </cell>
          <cell r="I17">
            <v>0</v>
          </cell>
          <cell r="J17">
            <v>208152</v>
          </cell>
          <cell r="K17">
            <v>0</v>
          </cell>
          <cell r="O17">
            <v>126</v>
          </cell>
          <cell r="P17">
            <v>208152</v>
          </cell>
          <cell r="Q17">
            <v>0</v>
          </cell>
          <cell r="R17">
            <v>0</v>
          </cell>
          <cell r="W17">
            <v>1.25</v>
          </cell>
          <cell r="Y17">
            <v>157.5</v>
          </cell>
          <cell r="Z17">
            <v>0</v>
          </cell>
          <cell r="AB17">
            <v>1321.6</v>
          </cell>
        </row>
        <row r="18">
          <cell r="B18">
            <v>48</v>
          </cell>
          <cell r="C18">
            <v>0</v>
          </cell>
          <cell r="E18">
            <v>48</v>
          </cell>
          <cell r="F18" t="str">
            <v>mts. PVC  90 mm Cl-10</v>
          </cell>
          <cell r="G18">
            <v>2366</v>
          </cell>
          <cell r="I18">
            <v>0</v>
          </cell>
          <cell r="J18">
            <v>113568</v>
          </cell>
          <cell r="K18">
            <v>0</v>
          </cell>
          <cell r="O18">
            <v>48</v>
          </cell>
          <cell r="P18">
            <v>113568</v>
          </cell>
          <cell r="Q18">
            <v>0</v>
          </cell>
          <cell r="R18">
            <v>0</v>
          </cell>
          <cell r="W18">
            <v>1.79</v>
          </cell>
          <cell r="Y18">
            <v>85.92</v>
          </cell>
          <cell r="Z18">
            <v>0</v>
          </cell>
          <cell r="AB18">
            <v>1321.7877094972066</v>
          </cell>
        </row>
        <row r="19">
          <cell r="B19">
            <v>156</v>
          </cell>
          <cell r="C19">
            <v>0</v>
          </cell>
          <cell r="E19">
            <v>156</v>
          </cell>
          <cell r="F19" t="str">
            <v>mts. PVC  40 mm Cl-6</v>
          </cell>
          <cell r="G19">
            <v>438</v>
          </cell>
          <cell r="I19">
            <v>0</v>
          </cell>
          <cell r="J19">
            <v>68328</v>
          </cell>
          <cell r="K19">
            <v>0</v>
          </cell>
          <cell r="O19">
            <v>156</v>
          </cell>
          <cell r="P19">
            <v>68328</v>
          </cell>
          <cell r="Q19">
            <v>0</v>
          </cell>
          <cell r="R19">
            <v>0</v>
          </cell>
          <cell r="W19">
            <v>0.33</v>
          </cell>
          <cell r="Y19">
            <v>51.480000000000004</v>
          </cell>
          <cell r="Z19">
            <v>0</v>
          </cell>
          <cell r="AB19">
            <v>1327.2727272727273</v>
          </cell>
        </row>
        <row r="20">
          <cell r="B20">
            <v>36</v>
          </cell>
          <cell r="C20">
            <v>0</v>
          </cell>
          <cell r="E20">
            <v>36</v>
          </cell>
          <cell r="F20" t="str">
            <v>mts. PVC  50 mm Cl-6</v>
          </cell>
          <cell r="G20">
            <v>554</v>
          </cell>
          <cell r="I20">
            <v>0</v>
          </cell>
          <cell r="J20">
            <v>19944</v>
          </cell>
          <cell r="K20">
            <v>0</v>
          </cell>
          <cell r="O20">
            <v>36</v>
          </cell>
          <cell r="P20">
            <v>19944</v>
          </cell>
          <cell r="Q20">
            <v>0</v>
          </cell>
          <cell r="R20">
            <v>0</v>
          </cell>
          <cell r="W20">
            <v>0.42</v>
          </cell>
          <cell r="Y20">
            <v>15.12</v>
          </cell>
          <cell r="Z20">
            <v>0</v>
          </cell>
          <cell r="AB20">
            <v>1319.047619047619</v>
          </cell>
        </row>
        <row r="21">
          <cell r="B21">
            <v>216</v>
          </cell>
          <cell r="C21">
            <v>0</v>
          </cell>
          <cell r="E21">
            <v>216</v>
          </cell>
          <cell r="F21" t="str">
            <v>mts. PVC  63 mm Cl-6</v>
          </cell>
          <cell r="G21">
            <v>761</v>
          </cell>
          <cell r="I21">
            <v>0</v>
          </cell>
          <cell r="J21">
            <v>164376</v>
          </cell>
          <cell r="K21">
            <v>0</v>
          </cell>
          <cell r="O21">
            <v>216</v>
          </cell>
          <cell r="P21">
            <v>164376</v>
          </cell>
          <cell r="Q21">
            <v>0</v>
          </cell>
          <cell r="R21">
            <v>0</v>
          </cell>
          <cell r="W21">
            <v>0.56000000000000005</v>
          </cell>
          <cell r="Y21">
            <v>120.96000000000001</v>
          </cell>
          <cell r="Z21">
            <v>0</v>
          </cell>
          <cell r="AB21">
            <v>1358.9285714285713</v>
          </cell>
        </row>
        <row r="22">
          <cell r="B22">
            <v>45</v>
          </cell>
          <cell r="C22">
            <v>0</v>
          </cell>
          <cell r="E22">
            <v>48</v>
          </cell>
          <cell r="F22" t="str">
            <v>mts. PVC  75 mm Cl-6</v>
          </cell>
          <cell r="G22">
            <v>1059</v>
          </cell>
          <cell r="I22">
            <v>0</v>
          </cell>
          <cell r="J22">
            <v>50832</v>
          </cell>
          <cell r="K22">
            <v>0</v>
          </cell>
          <cell r="O22">
            <v>48</v>
          </cell>
          <cell r="P22">
            <v>50832</v>
          </cell>
          <cell r="Q22">
            <v>0</v>
          </cell>
          <cell r="R22">
            <v>0</v>
          </cell>
          <cell r="W22">
            <v>0.77</v>
          </cell>
          <cell r="Y22">
            <v>34.65</v>
          </cell>
          <cell r="Z22">
            <v>0</v>
          </cell>
          <cell r="AB22">
            <v>1375.3246753246754</v>
          </cell>
        </row>
        <row r="23">
          <cell r="B23">
            <v>66</v>
          </cell>
          <cell r="C23">
            <v>0</v>
          </cell>
          <cell r="E23">
            <v>66</v>
          </cell>
          <cell r="F23" t="str">
            <v>mts. PVC  90 mm Cl-6</v>
          </cell>
          <cell r="G23">
            <v>1531</v>
          </cell>
          <cell r="I23">
            <v>0</v>
          </cell>
          <cell r="J23">
            <v>101046</v>
          </cell>
          <cell r="K23">
            <v>0</v>
          </cell>
          <cell r="O23">
            <v>66</v>
          </cell>
          <cell r="P23">
            <v>101046</v>
          </cell>
          <cell r="Q23">
            <v>0</v>
          </cell>
          <cell r="R23">
            <v>0</v>
          </cell>
          <cell r="W23">
            <v>1.1200000000000001</v>
          </cell>
          <cell r="Y23">
            <v>73.92</v>
          </cell>
          <cell r="Z23">
            <v>0</v>
          </cell>
          <cell r="AB23">
            <v>1366.9642857142856</v>
          </cell>
        </row>
        <row r="24">
          <cell r="B24">
            <v>78</v>
          </cell>
          <cell r="C24">
            <v>0</v>
          </cell>
          <cell r="E24">
            <v>78</v>
          </cell>
          <cell r="F24" t="str">
            <v>mts. PVC 110 mm Cl-6</v>
          </cell>
          <cell r="G24">
            <v>2226</v>
          </cell>
          <cell r="I24">
            <v>0</v>
          </cell>
          <cell r="J24">
            <v>173628</v>
          </cell>
          <cell r="K24">
            <v>0</v>
          </cell>
          <cell r="O24">
            <v>78</v>
          </cell>
          <cell r="P24">
            <v>173628</v>
          </cell>
          <cell r="Q24">
            <v>0</v>
          </cell>
          <cell r="R24">
            <v>0</v>
          </cell>
          <cell r="W24">
            <v>1.62</v>
          </cell>
          <cell r="Y24">
            <v>126.36000000000001</v>
          </cell>
          <cell r="Z24">
            <v>0</v>
          </cell>
          <cell r="AB24">
            <v>1374.0740740740739</v>
          </cell>
        </row>
        <row r="25">
          <cell r="B25">
            <v>0</v>
          </cell>
          <cell r="C25">
            <v>0</v>
          </cell>
          <cell r="E25">
            <v>0</v>
          </cell>
          <cell r="F25" t="str">
            <v>mts. PVC 125 mm Cl-6</v>
          </cell>
          <cell r="G25">
            <v>2893</v>
          </cell>
          <cell r="I25">
            <v>0</v>
          </cell>
          <cell r="J25">
            <v>0</v>
          </cell>
          <cell r="K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W25">
            <v>2.29</v>
          </cell>
          <cell r="Y25">
            <v>0</v>
          </cell>
          <cell r="Z25">
            <v>0</v>
          </cell>
          <cell r="AB25">
            <v>1263.3187772925764</v>
          </cell>
        </row>
        <row r="26">
          <cell r="B26">
            <v>0</v>
          </cell>
          <cell r="C26">
            <v>0</v>
          </cell>
          <cell r="E26">
            <v>0</v>
          </cell>
          <cell r="F26" t="str">
            <v>mts. PVC 140 mm Cl-6</v>
          </cell>
          <cell r="G26">
            <v>3609</v>
          </cell>
          <cell r="I26">
            <v>0</v>
          </cell>
          <cell r="J26">
            <v>0</v>
          </cell>
          <cell r="K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W26">
            <v>2.62</v>
          </cell>
          <cell r="Y26">
            <v>0</v>
          </cell>
          <cell r="Z26">
            <v>0</v>
          </cell>
          <cell r="AB26">
            <v>1377.4809160305342</v>
          </cell>
        </row>
        <row r="27">
          <cell r="B27">
            <v>0</v>
          </cell>
          <cell r="C27">
            <v>0</v>
          </cell>
          <cell r="E27">
            <v>0</v>
          </cell>
          <cell r="F27" t="str">
            <v>mts. PVC  75 mm Cl-4</v>
          </cell>
          <cell r="G27">
            <v>870</v>
          </cell>
          <cell r="I27">
            <v>0</v>
          </cell>
          <cell r="J27">
            <v>0</v>
          </cell>
          <cell r="K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W27">
            <v>0.64</v>
          </cell>
          <cell r="Y27">
            <v>0</v>
          </cell>
          <cell r="Z27">
            <v>0</v>
          </cell>
          <cell r="AB27">
            <v>1359.375</v>
          </cell>
        </row>
        <row r="28">
          <cell r="B28">
            <v>0</v>
          </cell>
          <cell r="C28">
            <v>0</v>
          </cell>
          <cell r="E28">
            <v>0</v>
          </cell>
          <cell r="F28" t="str">
            <v>mts. PVC  90 mm Cl-4</v>
          </cell>
          <cell r="G28">
            <v>1049</v>
          </cell>
          <cell r="I28">
            <v>0</v>
          </cell>
          <cell r="J28">
            <v>0</v>
          </cell>
          <cell r="K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W28">
            <v>0.97</v>
          </cell>
          <cell r="Y28">
            <v>0</v>
          </cell>
          <cell r="Z28">
            <v>0</v>
          </cell>
          <cell r="AB28">
            <v>1081.4432989690722</v>
          </cell>
        </row>
        <row r="29">
          <cell r="B29">
            <v>0</v>
          </cell>
          <cell r="C29">
            <v>0</v>
          </cell>
          <cell r="E29">
            <v>0</v>
          </cell>
          <cell r="F29" t="str">
            <v>mts. PVC 110 mm Cl-4</v>
          </cell>
          <cell r="G29">
            <v>1573</v>
          </cell>
          <cell r="I29">
            <v>0</v>
          </cell>
          <cell r="J29">
            <v>0</v>
          </cell>
          <cell r="K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W29">
            <v>1.1399999999999999</v>
          </cell>
          <cell r="Y29">
            <v>0</v>
          </cell>
          <cell r="Z29">
            <v>0</v>
          </cell>
          <cell r="AB29">
            <v>1379.8245614035088</v>
          </cell>
        </row>
        <row r="30">
          <cell r="B30">
            <v>0</v>
          </cell>
          <cell r="C30">
            <v>0</v>
          </cell>
          <cell r="E30">
            <v>0</v>
          </cell>
          <cell r="F30" t="str">
            <v>mts. PVC 125 mm Cl-4</v>
          </cell>
          <cell r="G30">
            <v>2009</v>
          </cell>
          <cell r="I30">
            <v>0</v>
          </cell>
          <cell r="J30">
            <v>0</v>
          </cell>
          <cell r="K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W30">
            <v>1.6</v>
          </cell>
          <cell r="Y30">
            <v>0</v>
          </cell>
          <cell r="Z30">
            <v>0</v>
          </cell>
          <cell r="AB30">
            <v>1255.625</v>
          </cell>
        </row>
        <row r="31">
          <cell r="B31">
            <v>0</v>
          </cell>
          <cell r="C31">
            <v>0</v>
          </cell>
          <cell r="E31">
            <v>0</v>
          </cell>
          <cell r="F31" t="str">
            <v>mts. PVC 140 mm Cl-4</v>
          </cell>
          <cell r="G31">
            <v>2499</v>
          </cell>
          <cell r="I31">
            <v>0</v>
          </cell>
          <cell r="J31">
            <v>0</v>
          </cell>
          <cell r="K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W31">
            <v>1.84</v>
          </cell>
          <cell r="Y31">
            <v>0</v>
          </cell>
          <cell r="Z31">
            <v>0</v>
          </cell>
          <cell r="AB31">
            <v>1358.1521739130435</v>
          </cell>
        </row>
        <row r="32">
          <cell r="B32">
            <v>0</v>
          </cell>
          <cell r="C32">
            <v>0</v>
          </cell>
          <cell r="E32">
            <v>0</v>
          </cell>
          <cell r="F32" t="str">
            <v>mts. Conduit  III 20 mm</v>
          </cell>
          <cell r="G32">
            <v>172</v>
          </cell>
          <cell r="I32">
            <v>0</v>
          </cell>
          <cell r="J32">
            <v>0</v>
          </cell>
          <cell r="K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W32">
            <v>0.14000000000000001</v>
          </cell>
          <cell r="Y32">
            <v>0</v>
          </cell>
          <cell r="Z32">
            <v>0</v>
          </cell>
          <cell r="AB32">
            <v>1228.5714285714284</v>
          </cell>
        </row>
        <row r="33">
          <cell r="B33">
            <v>0</v>
          </cell>
          <cell r="C33">
            <v>0</v>
          </cell>
          <cell r="E33">
            <v>0</v>
          </cell>
          <cell r="F33" t="str">
            <v>mts. Conduit  III 25 mm</v>
          </cell>
          <cell r="G33">
            <v>218</v>
          </cell>
          <cell r="I33">
            <v>0</v>
          </cell>
          <cell r="J33">
            <v>0</v>
          </cell>
          <cell r="K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W33">
            <v>0.14000000000000001</v>
          </cell>
          <cell r="Y33">
            <v>0</v>
          </cell>
          <cell r="Z33">
            <v>0</v>
          </cell>
          <cell r="AB33">
            <v>1557.1428571428569</v>
          </cell>
        </row>
        <row r="34">
          <cell r="B34">
            <v>0</v>
          </cell>
          <cell r="C34">
            <v>0</v>
          </cell>
          <cell r="E34">
            <v>0</v>
          </cell>
          <cell r="F34" t="str">
            <v>mts. Conduit  III 32 mm</v>
          </cell>
          <cell r="G34">
            <v>330</v>
          </cell>
          <cell r="I34">
            <v>0</v>
          </cell>
          <cell r="J34">
            <v>0</v>
          </cell>
          <cell r="K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W34">
            <v>0.14000000000000001</v>
          </cell>
          <cell r="Y34">
            <v>0</v>
          </cell>
          <cell r="Z34">
            <v>0</v>
          </cell>
          <cell r="AB34">
            <v>2357.1428571428569</v>
          </cell>
        </row>
        <row r="36">
          <cell r="E36" t="str">
            <v>Gl</v>
          </cell>
          <cell r="F36" t="str">
            <v>Costo/HA Matrices ==&gt;</v>
          </cell>
          <cell r="G36">
            <v>0</v>
          </cell>
          <cell r="I36">
            <v>0</v>
          </cell>
          <cell r="J36">
            <v>0</v>
          </cell>
          <cell r="K36" t="str">
            <v>----</v>
          </cell>
          <cell r="L36" t="str">
            <v>Matriz:</v>
          </cell>
          <cell r="M36">
            <v>119.26696703139525</v>
          </cell>
        </row>
        <row r="37">
          <cell r="E37" t="str">
            <v>Gl</v>
          </cell>
          <cell r="F37" t="str">
            <v>Costo/HA Submatrices ==&gt;</v>
          </cell>
          <cell r="G37">
            <v>79755.94530321045</v>
          </cell>
          <cell r="I37">
            <v>0</v>
          </cell>
          <cell r="J37">
            <v>941120.15457788343</v>
          </cell>
          <cell r="K37" t="str">
            <v>----</v>
          </cell>
          <cell r="L37" t="str">
            <v>S.Matriz:</v>
          </cell>
          <cell r="M37">
            <v>112.17432532097111</v>
          </cell>
        </row>
        <row r="39">
          <cell r="E39" t="str">
            <v>Gl</v>
          </cell>
          <cell r="F39" t="str">
            <v xml:space="preserve">Fitting Tubería:    Cl4-20%  Cl6-15% </v>
          </cell>
          <cell r="G39" t="str">
            <v>% de PVC</v>
          </cell>
          <cell r="I39">
            <v>20</v>
          </cell>
          <cell r="J39">
            <v>388349.23091557669</v>
          </cell>
          <cell r="K39">
            <v>0</v>
          </cell>
          <cell r="L39" t="str">
            <v>Fittings:</v>
          </cell>
          <cell r="M39">
            <v>46.288258470473274</v>
          </cell>
        </row>
        <row r="41">
          <cell r="F41" t="str">
            <v>SUBTOTAL TUBERÍAS</v>
          </cell>
          <cell r="J41">
            <v>2330095.3854934601</v>
          </cell>
          <cell r="K41">
            <v>0</v>
          </cell>
          <cell r="L41" t="str">
            <v>U$/há</v>
          </cell>
          <cell r="M41">
            <v>277.72955082283966</v>
          </cell>
        </row>
        <row r="42">
          <cell r="F42" t="str">
            <v>LATERALES</v>
          </cell>
        </row>
        <row r="43">
          <cell r="M43" t="str">
            <v/>
          </cell>
        </row>
        <row r="44">
          <cell r="E44">
            <v>17194.285714285717</v>
          </cell>
          <cell r="F44" t="str">
            <v>mts. Tubería PE liso 16 mm e = 0,9 mm (1635)</v>
          </cell>
          <cell r="G44">
            <v>55</v>
          </cell>
          <cell r="I44">
            <v>0</v>
          </cell>
          <cell r="J44">
            <v>945685.71428571444</v>
          </cell>
          <cell r="K44">
            <v>0</v>
          </cell>
        </row>
        <row r="45">
          <cell r="M45" t="str">
            <v/>
          </cell>
        </row>
        <row r="46">
          <cell r="E46">
            <v>4912.6530612244915</v>
          </cell>
          <cell r="F46" t="str">
            <v>Gotero 4 l/h, PC-Junior, Netafim con 50 cm microtubo flexible y copla</v>
          </cell>
          <cell r="G46">
            <v>97.142857142857153</v>
          </cell>
          <cell r="I46">
            <v>0.155</v>
          </cell>
          <cell r="J46">
            <v>477229.15451895067</v>
          </cell>
          <cell r="K46">
            <v>761.46122448979622</v>
          </cell>
        </row>
        <row r="48">
          <cell r="E48">
            <v>0</v>
          </cell>
          <cell r="F48" t="str">
            <v>Microaspersor 28 l/h, modelo 2001, boquilla , Dan sin deflector (Israel)</v>
          </cell>
          <cell r="G48">
            <v>0</v>
          </cell>
          <cell r="I48">
            <v>1.17</v>
          </cell>
          <cell r="J48">
            <v>0</v>
          </cell>
          <cell r="K48">
            <v>0</v>
          </cell>
        </row>
        <row r="50">
          <cell r="E50">
            <v>550</v>
          </cell>
          <cell r="F50" t="str">
            <v>Conexión 16 mm para PVC &gt;32mm</v>
          </cell>
          <cell r="G50">
            <v>218</v>
          </cell>
          <cell r="I50">
            <v>0</v>
          </cell>
          <cell r="J50">
            <v>119900</v>
          </cell>
          <cell r="K50">
            <v>0</v>
          </cell>
        </row>
        <row r="52">
          <cell r="F52" t="str">
            <v>SUBTOTAL LATERALES</v>
          </cell>
          <cell r="J52">
            <v>1542814.868804665</v>
          </cell>
          <cell r="K52">
            <v>761.46122448979622</v>
          </cell>
          <cell r="L52" t="str">
            <v>U$/Ha=</v>
          </cell>
          <cell r="M52">
            <v>248.42234611276908</v>
          </cell>
        </row>
        <row r="53">
          <cell r="F53" t="str">
            <v>ELEMENTOS DE PROTECCIÓN Y CONTROL</v>
          </cell>
        </row>
        <row r="55">
          <cell r="E55">
            <v>0</v>
          </cell>
          <cell r="F55" t="str">
            <v>Válvula Eléctrica 3" Repco Aluminio c/RF</v>
          </cell>
          <cell r="G55">
            <v>109935</v>
          </cell>
          <cell r="I55">
            <v>0</v>
          </cell>
          <cell r="J55">
            <v>0</v>
          </cell>
          <cell r="K55">
            <v>0</v>
          </cell>
        </row>
        <row r="56">
          <cell r="E56">
            <v>5</v>
          </cell>
          <cell r="F56" t="str">
            <v>Válvula Eléctrica 2" c/RF Baccara</v>
          </cell>
          <cell r="G56">
            <v>44769</v>
          </cell>
          <cell r="I56">
            <v>0</v>
          </cell>
          <cell r="J56">
            <v>223845</v>
          </cell>
          <cell r="K56">
            <v>0</v>
          </cell>
        </row>
        <row r="57">
          <cell r="E57">
            <v>14</v>
          </cell>
          <cell r="F57" t="str">
            <v>Válvula Eléctrica 1 1/2" c/RF Baccara</v>
          </cell>
          <cell r="G57">
            <v>38329.5</v>
          </cell>
          <cell r="I57">
            <v>0</v>
          </cell>
          <cell r="J57">
            <v>536613</v>
          </cell>
          <cell r="K57">
            <v>0</v>
          </cell>
        </row>
        <row r="58">
          <cell r="E58">
            <v>10</v>
          </cell>
          <cell r="F58" t="str">
            <v>Válvula Eléctrica 1" Hunter PGV 101-G con RF</v>
          </cell>
          <cell r="G58">
            <v>14357</v>
          </cell>
          <cell r="I58">
            <v>0</v>
          </cell>
          <cell r="J58">
            <v>143570</v>
          </cell>
          <cell r="K58">
            <v>0</v>
          </cell>
        </row>
        <row r="60">
          <cell r="E60">
            <v>0</v>
          </cell>
          <cell r="F60" t="str">
            <v>Válvula de Bola Bronce 3"</v>
          </cell>
          <cell r="G60">
            <v>30337.64235149277</v>
          </cell>
          <cell r="I60">
            <v>0</v>
          </cell>
          <cell r="J60">
            <v>0</v>
          </cell>
          <cell r="K60">
            <v>0</v>
          </cell>
        </row>
        <row r="61">
          <cell r="E61">
            <v>0</v>
          </cell>
          <cell r="F61" t="str">
            <v>Válvula de Bola Bronce 2 1/2"</v>
          </cell>
          <cell r="G61">
            <v>22488.765774084335</v>
          </cell>
          <cell r="I61">
            <v>0</v>
          </cell>
          <cell r="J61">
            <v>0</v>
          </cell>
          <cell r="K61">
            <v>0</v>
          </cell>
        </row>
        <row r="62">
          <cell r="E62">
            <v>0</v>
          </cell>
          <cell r="F62" t="str">
            <v>Válvula de Bola Bronce 2"</v>
          </cell>
          <cell r="G62">
            <v>10089.566020313941</v>
          </cell>
          <cell r="I62">
            <v>0</v>
          </cell>
          <cell r="J62">
            <v>0</v>
          </cell>
          <cell r="K62">
            <v>0</v>
          </cell>
        </row>
        <row r="63">
          <cell r="E63">
            <v>0</v>
          </cell>
          <cell r="F63" t="str">
            <v>Válvula de Bola Bronce 1 1/2"</v>
          </cell>
          <cell r="G63">
            <v>6502.3084025854105</v>
          </cell>
          <cell r="I63">
            <v>0</v>
          </cell>
          <cell r="J63">
            <v>0</v>
          </cell>
          <cell r="K63">
            <v>0</v>
          </cell>
        </row>
        <row r="64">
          <cell r="E64">
            <v>0</v>
          </cell>
          <cell r="F64" t="str">
            <v>Válvula de Bola Bronce 1 1/4"</v>
          </cell>
          <cell r="G64">
            <v>4731.3019390581712</v>
          </cell>
          <cell r="I64">
            <v>0</v>
          </cell>
          <cell r="J64">
            <v>0</v>
          </cell>
          <cell r="K64">
            <v>0</v>
          </cell>
        </row>
        <row r="65">
          <cell r="E65">
            <v>0</v>
          </cell>
          <cell r="F65" t="str">
            <v>Válvula de Bola Bronce 1"</v>
          </cell>
          <cell r="G65">
            <v>2690.9818405663282</v>
          </cell>
          <cell r="I65">
            <v>0</v>
          </cell>
          <cell r="J65">
            <v>0</v>
          </cell>
          <cell r="K65">
            <v>0</v>
          </cell>
        </row>
        <row r="66">
          <cell r="E66">
            <v>0</v>
          </cell>
          <cell r="F66" t="str">
            <v>Válvula de Bola Bronce 3/4"</v>
          </cell>
          <cell r="G66">
            <v>1676.208064019698</v>
          </cell>
          <cell r="I66">
            <v>0</v>
          </cell>
          <cell r="J66">
            <v>0</v>
          </cell>
          <cell r="K66">
            <v>0</v>
          </cell>
        </row>
        <row r="67">
          <cell r="E67">
            <v>0</v>
          </cell>
          <cell r="F67" t="str">
            <v>Válvula de Bola Bronce 1/2"</v>
          </cell>
          <cell r="G67">
            <v>1141.8898122499229</v>
          </cell>
          <cell r="I67">
            <v>0</v>
          </cell>
          <cell r="J67">
            <v>0</v>
          </cell>
          <cell r="K67">
            <v>0</v>
          </cell>
        </row>
        <row r="69">
          <cell r="E69">
            <v>0</v>
          </cell>
          <cell r="F69" t="str">
            <v>Válvula de regulación 3"</v>
          </cell>
          <cell r="G69">
            <v>30337.64235149277</v>
          </cell>
          <cell r="I69">
            <v>0</v>
          </cell>
          <cell r="J69">
            <v>0</v>
          </cell>
          <cell r="K69">
            <v>0</v>
          </cell>
        </row>
        <row r="70">
          <cell r="E70">
            <v>0</v>
          </cell>
          <cell r="F70" t="str">
            <v>Válvula de regulación 2 1/2"</v>
          </cell>
          <cell r="G70">
            <v>22488.765774084335</v>
          </cell>
          <cell r="I70">
            <v>0</v>
          </cell>
          <cell r="J70">
            <v>0</v>
          </cell>
          <cell r="K70">
            <v>0</v>
          </cell>
        </row>
        <row r="71">
          <cell r="E71">
            <v>0</v>
          </cell>
          <cell r="F71" t="str">
            <v>Válvula de regulación 2"</v>
          </cell>
          <cell r="G71">
            <v>10089.566020313941</v>
          </cell>
          <cell r="I71">
            <v>0</v>
          </cell>
          <cell r="J71">
            <v>0</v>
          </cell>
          <cell r="K71">
            <v>0</v>
          </cell>
        </row>
        <row r="72">
          <cell r="E72">
            <v>0</v>
          </cell>
          <cell r="F72" t="str">
            <v>Válvula de regulación 1 1/2"</v>
          </cell>
          <cell r="G72">
            <v>6502.3084025854105</v>
          </cell>
          <cell r="I72">
            <v>0</v>
          </cell>
          <cell r="J72">
            <v>0</v>
          </cell>
          <cell r="K72">
            <v>0</v>
          </cell>
        </row>
        <row r="73">
          <cell r="E73">
            <v>0</v>
          </cell>
          <cell r="F73" t="str">
            <v>Válvula de regulación 1 1/4"</v>
          </cell>
          <cell r="G73">
            <v>4731.3019390581712</v>
          </cell>
          <cell r="I73">
            <v>0</v>
          </cell>
          <cell r="J73">
            <v>0</v>
          </cell>
          <cell r="K73">
            <v>0</v>
          </cell>
        </row>
        <row r="74">
          <cell r="E74">
            <v>0</v>
          </cell>
          <cell r="F74" t="str">
            <v>Válvula de regulación 1"</v>
          </cell>
          <cell r="G74">
            <v>2690.9818405663282</v>
          </cell>
          <cell r="I74">
            <v>0</v>
          </cell>
          <cell r="J74">
            <v>0</v>
          </cell>
          <cell r="K74">
            <v>0</v>
          </cell>
        </row>
        <row r="75">
          <cell r="E75">
            <v>0</v>
          </cell>
          <cell r="F75" t="str">
            <v>Válvula de regulación 3/4"</v>
          </cell>
          <cell r="G75">
            <v>1676.208064019698</v>
          </cell>
          <cell r="I75">
            <v>0</v>
          </cell>
          <cell r="J75">
            <v>0</v>
          </cell>
          <cell r="K75">
            <v>0</v>
          </cell>
        </row>
        <row r="76">
          <cell r="E76">
            <v>0</v>
          </cell>
          <cell r="F76" t="str">
            <v>Válvula de regulación 1/2"</v>
          </cell>
          <cell r="G76">
            <v>1141.8898122499229</v>
          </cell>
          <cell r="I76">
            <v>0</v>
          </cell>
          <cell r="J76">
            <v>0</v>
          </cell>
          <cell r="K76">
            <v>0</v>
          </cell>
        </row>
        <row r="78">
          <cell r="E78">
            <v>29</v>
          </cell>
          <cell r="F78" t="str">
            <v>Válvula control presión</v>
          </cell>
          <cell r="G78">
            <v>1385</v>
          </cell>
          <cell r="I78">
            <v>0</v>
          </cell>
          <cell r="J78">
            <v>40165</v>
          </cell>
          <cell r="K78">
            <v>0</v>
          </cell>
        </row>
        <row r="79">
          <cell r="E79">
            <v>0</v>
          </cell>
          <cell r="F79" t="str">
            <v>Válvula antivacío 2" Unirain</v>
          </cell>
          <cell r="G79">
            <v>21032.2</v>
          </cell>
          <cell r="I79">
            <v>0</v>
          </cell>
          <cell r="J79">
            <v>0</v>
          </cell>
          <cell r="K79">
            <v>0</v>
          </cell>
        </row>
        <row r="80">
          <cell r="E80">
            <v>0</v>
          </cell>
          <cell r="F80" t="str">
            <v>Válvula antivacío 1 1/2"</v>
          </cell>
          <cell r="G80">
            <v>12353</v>
          </cell>
          <cell r="I80">
            <v>0</v>
          </cell>
          <cell r="J80">
            <v>0</v>
          </cell>
          <cell r="K80">
            <v>0</v>
          </cell>
        </row>
        <row r="81">
          <cell r="E81">
            <v>8</v>
          </cell>
          <cell r="F81" t="str">
            <v>Válvula antivacío 1"</v>
          </cell>
          <cell r="G81">
            <v>9735</v>
          </cell>
          <cell r="I81">
            <v>0</v>
          </cell>
          <cell r="J81">
            <v>77880</v>
          </cell>
          <cell r="K81">
            <v>0</v>
          </cell>
        </row>
        <row r="82">
          <cell r="E82">
            <v>29</v>
          </cell>
          <cell r="F82" t="str">
            <v>Válvula antivacío 1/2"</v>
          </cell>
          <cell r="G82">
            <v>3770</v>
          </cell>
          <cell r="I82">
            <v>0</v>
          </cell>
          <cell r="J82">
            <v>109330</v>
          </cell>
          <cell r="K82">
            <v>0</v>
          </cell>
        </row>
        <row r="84">
          <cell r="F84" t="str">
            <v>SUBTOTAL ELEMENTOS DE PROTECCIÓN Y CONTROL</v>
          </cell>
          <cell r="J84">
            <v>1131403</v>
          </cell>
          <cell r="K84">
            <v>0</v>
          </cell>
          <cell r="L84" t="str">
            <v>U$/Ha=</v>
          </cell>
          <cell r="M84">
            <v>134.85458532980525</v>
          </cell>
        </row>
        <row r="86">
          <cell r="E86" t="str">
            <v>Cantidad</v>
          </cell>
          <cell r="F86" t="str">
            <v>Descripción</v>
          </cell>
          <cell r="G86" t="str">
            <v>V. Unitario $</v>
          </cell>
          <cell r="I86" t="str">
            <v>V. Unitario U$</v>
          </cell>
          <cell r="J86" t="str">
            <v>V. Total $</v>
          </cell>
          <cell r="K86" t="str">
            <v>V. Total U$</v>
          </cell>
        </row>
        <row r="87">
          <cell r="F87" t="str">
            <v>CASETA</v>
          </cell>
        </row>
        <row r="89">
          <cell r="E89">
            <v>0</v>
          </cell>
          <cell r="F89" t="str">
            <v>Bomba VOGT N 629 d=200 mm FMS (Nacional) con motor 15 Hp.  H = 58 mca. ; Q = 50 m3/h.   FUNDICIÓN NODULAR: Presión máxima= 126 mca</v>
          </cell>
          <cell r="G89">
            <v>879394</v>
          </cell>
          <cell r="I89">
            <v>0</v>
          </cell>
          <cell r="J89">
            <v>0</v>
          </cell>
          <cell r="K89">
            <v>0</v>
          </cell>
        </row>
        <row r="90">
          <cell r="E90">
            <v>0</v>
          </cell>
          <cell r="F90" t="str">
            <v>Bomba VOGT N 629 d=160 mm FMS (Nacional) con motor 10 Hp.  H = 34 mca. ; Q = 50 m3/h.   FUNDICIÓN NORMAL</v>
          </cell>
          <cell r="G90">
            <v>610259</v>
          </cell>
          <cell r="I90">
            <v>0</v>
          </cell>
          <cell r="J90">
            <v>0</v>
          </cell>
          <cell r="K90">
            <v>0</v>
          </cell>
        </row>
        <row r="92">
          <cell r="E92">
            <v>0</v>
          </cell>
          <cell r="F92" t="str">
            <v>Tablero control motor 2x10 + 15 Hp con 5 estaciones</v>
          </cell>
          <cell r="G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E93">
            <v>1</v>
          </cell>
          <cell r="F93" t="str">
            <v>Modificación tablero agragando 2 estaciones</v>
          </cell>
          <cell r="G93">
            <v>60000</v>
          </cell>
          <cell r="I93">
            <v>0</v>
          </cell>
          <cell r="J93">
            <v>60000</v>
          </cell>
          <cell r="K93">
            <v>0</v>
          </cell>
        </row>
        <row r="94">
          <cell r="E94">
            <v>0</v>
          </cell>
          <cell r="F94" t="str">
            <v>Filtro arena 2x30", automático, con filtro de mallas de seguridad en 4"</v>
          </cell>
          <cell r="G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E95">
            <v>0</v>
          </cell>
          <cell r="F95" t="str">
            <v>Filtro anillas 2x3", automático</v>
          </cell>
          <cell r="G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E96">
            <v>0</v>
          </cell>
          <cell r="F96" t="str">
            <v>Filtro mallas acero 4"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E97">
            <v>0</v>
          </cell>
          <cell r="F97" t="str">
            <v>Programador Netafim Miracle 6 estaciones, sin caja ni transformador.</v>
          </cell>
          <cell r="G97">
            <v>0</v>
          </cell>
          <cell r="I97">
            <v>133</v>
          </cell>
          <cell r="J97">
            <v>0</v>
          </cell>
          <cell r="K97">
            <v>0</v>
          </cell>
        </row>
        <row r="98">
          <cell r="E98">
            <v>0</v>
          </cell>
          <cell r="F98" t="str">
            <v>mts. cable unipolar 1,5 mm2</v>
          </cell>
          <cell r="G98">
            <v>45</v>
          </cell>
          <cell r="I98">
            <v>0</v>
          </cell>
          <cell r="J98">
            <v>0</v>
          </cell>
          <cell r="K98">
            <v>0</v>
          </cell>
        </row>
        <row r="99">
          <cell r="E99">
            <v>6200</v>
          </cell>
          <cell r="F99" t="str">
            <v>mts. cable unipolar 2,5 mm2</v>
          </cell>
          <cell r="G99">
            <v>91</v>
          </cell>
          <cell r="I99">
            <v>0</v>
          </cell>
          <cell r="J99">
            <v>564200</v>
          </cell>
          <cell r="K99">
            <v>0</v>
          </cell>
        </row>
        <row r="100">
          <cell r="E100">
            <v>1</v>
          </cell>
          <cell r="F100" t="str">
            <v>Manómetro con adaptador</v>
          </cell>
          <cell r="G100">
            <v>7222.8</v>
          </cell>
          <cell r="I100">
            <v>21</v>
          </cell>
          <cell r="J100">
            <v>7222.8</v>
          </cell>
          <cell r="K100">
            <v>21</v>
          </cell>
        </row>
        <row r="101">
          <cell r="E101">
            <v>0</v>
          </cell>
          <cell r="F101" t="str">
            <v>Guardanivel MAC5</v>
          </cell>
          <cell r="G101">
            <v>9373</v>
          </cell>
          <cell r="I101">
            <v>0</v>
          </cell>
          <cell r="J101">
            <v>0</v>
          </cell>
          <cell r="K101">
            <v>0</v>
          </cell>
        </row>
        <row r="102">
          <cell r="E102">
            <v>0</v>
          </cell>
          <cell r="F102" t="str">
            <v>Kit Venturi Mazzei 1078, estanque. 200 lt.</v>
          </cell>
          <cell r="G102">
            <v>16500</v>
          </cell>
          <cell r="I102">
            <v>320</v>
          </cell>
          <cell r="J102">
            <v>0</v>
          </cell>
          <cell r="K102">
            <v>0</v>
          </cell>
        </row>
        <row r="103">
          <cell r="E103" t="str">
            <v>Gl</v>
          </cell>
          <cell r="F103" t="str">
            <v>Fitting Caseta en 4"</v>
          </cell>
          <cell r="G103" t="str">
            <v/>
          </cell>
          <cell r="J103">
            <v>0</v>
          </cell>
          <cell r="K103">
            <v>0</v>
          </cell>
        </row>
        <row r="105">
          <cell r="F105" t="str">
            <v>SUBTOTAL CASETA</v>
          </cell>
          <cell r="J105">
            <v>631422.80000000005</v>
          </cell>
          <cell r="K105">
            <v>21</v>
          </cell>
          <cell r="L105" t="str">
            <v>U$/Ha=</v>
          </cell>
          <cell r="M105">
            <v>77.040430046008254</v>
          </cell>
        </row>
        <row r="106">
          <cell r="F106" t="str">
            <v>TOTAL SUMINISTRO</v>
          </cell>
          <cell r="I106" t="str">
            <v/>
          </cell>
          <cell r="J106">
            <v>5635736.0542981252</v>
          </cell>
          <cell r="K106">
            <v>782.46122448979622</v>
          </cell>
          <cell r="L106" t="str">
            <v>U$/Ha=</v>
          </cell>
          <cell r="M106">
            <v>738.04691231142226</v>
          </cell>
        </row>
        <row r="107">
          <cell r="F107" t="str">
            <v>DISEÑO</v>
          </cell>
        </row>
        <row r="109">
          <cell r="E109" t="str">
            <v>Gl</v>
          </cell>
          <cell r="F109" t="str">
            <v>Costo fijo</v>
          </cell>
          <cell r="J109">
            <v>0</v>
          </cell>
          <cell r="K109">
            <v>0</v>
          </cell>
        </row>
        <row r="110">
          <cell r="E110">
            <v>11.8</v>
          </cell>
          <cell r="F110" t="str">
            <v>Costo variable por Há</v>
          </cell>
          <cell r="G110">
            <v>42660</v>
          </cell>
          <cell r="I110">
            <v>0</v>
          </cell>
          <cell r="J110">
            <v>503388.00000000006</v>
          </cell>
          <cell r="K110">
            <v>0</v>
          </cell>
        </row>
        <row r="112">
          <cell r="E112">
            <v>0</v>
          </cell>
          <cell r="F112" t="str">
            <v>Días Ingeniero</v>
          </cell>
          <cell r="G112">
            <v>150000</v>
          </cell>
          <cell r="I112">
            <v>0</v>
          </cell>
          <cell r="J112">
            <v>0</v>
          </cell>
          <cell r="K112">
            <v>0</v>
          </cell>
        </row>
        <row r="113">
          <cell r="E113">
            <v>0</v>
          </cell>
          <cell r="F113" t="str">
            <v>Días Dibujante</v>
          </cell>
          <cell r="G113">
            <v>50000</v>
          </cell>
          <cell r="I113">
            <v>0</v>
          </cell>
          <cell r="J113">
            <v>0</v>
          </cell>
          <cell r="K113">
            <v>0</v>
          </cell>
        </row>
        <row r="114">
          <cell r="E114">
            <v>0</v>
          </cell>
          <cell r="F114" t="str">
            <v>Días Ayudante</v>
          </cell>
          <cell r="G114">
            <v>35000</v>
          </cell>
          <cell r="I114">
            <v>0</v>
          </cell>
          <cell r="J114">
            <v>0</v>
          </cell>
          <cell r="K114">
            <v>0</v>
          </cell>
        </row>
        <row r="115">
          <cell r="E115" t="str">
            <v>Gl</v>
          </cell>
          <cell r="F115" t="str">
            <v>Costo fijo</v>
          </cell>
          <cell r="J115">
            <v>0</v>
          </cell>
          <cell r="K115">
            <v>0</v>
          </cell>
        </row>
        <row r="117">
          <cell r="F117" t="str">
            <v>SUBTOTAL DISEÑO</v>
          </cell>
          <cell r="J117">
            <v>503388.00000000006</v>
          </cell>
          <cell r="K117">
            <v>0</v>
          </cell>
          <cell r="L117" t="str">
            <v>U$/Ha=</v>
          </cell>
          <cell r="M117">
            <v>60.000000000000007</v>
          </cell>
        </row>
        <row r="118">
          <cell r="F118" t="str">
            <v>INSTALACIÓN Y FLETES</v>
          </cell>
        </row>
        <row r="120">
          <cell r="E120">
            <v>11.8</v>
          </cell>
          <cell r="F120" t="str">
            <v>hás montaje cerro</v>
          </cell>
          <cell r="G120">
            <v>74000</v>
          </cell>
          <cell r="I120">
            <v>0</v>
          </cell>
          <cell r="J120">
            <v>873200</v>
          </cell>
          <cell r="K120">
            <v>0</v>
          </cell>
        </row>
        <row r="121">
          <cell r="E121">
            <v>0.5</v>
          </cell>
          <cell r="F121" t="str">
            <v>Días Soldador</v>
          </cell>
          <cell r="G121">
            <v>48400</v>
          </cell>
          <cell r="I121">
            <v>0</v>
          </cell>
          <cell r="J121">
            <v>24200</v>
          </cell>
          <cell r="K121">
            <v>0</v>
          </cell>
        </row>
        <row r="122">
          <cell r="E122">
            <v>0</v>
          </cell>
          <cell r="F122" t="str">
            <v>Días Soldadora rotativa</v>
          </cell>
          <cell r="G122">
            <v>15400</v>
          </cell>
          <cell r="I122">
            <v>0</v>
          </cell>
          <cell r="J122">
            <v>0</v>
          </cell>
          <cell r="K122">
            <v>0</v>
          </cell>
        </row>
        <row r="123">
          <cell r="E123">
            <v>0.5</v>
          </cell>
          <cell r="F123" t="str">
            <v>Días Eléctrico</v>
          </cell>
          <cell r="G123">
            <v>46200</v>
          </cell>
          <cell r="I123">
            <v>0</v>
          </cell>
          <cell r="J123">
            <v>23100</v>
          </cell>
          <cell r="K123">
            <v>0</v>
          </cell>
        </row>
        <row r="124">
          <cell r="E124">
            <v>2</v>
          </cell>
          <cell r="F124" t="str">
            <v>Días Supervisor</v>
          </cell>
          <cell r="G124">
            <v>82500</v>
          </cell>
          <cell r="I124">
            <v>0</v>
          </cell>
          <cell r="J124">
            <v>165000</v>
          </cell>
          <cell r="K124">
            <v>0</v>
          </cell>
        </row>
        <row r="125">
          <cell r="E125">
            <v>1</v>
          </cell>
          <cell r="F125" t="str">
            <v>Fletes</v>
          </cell>
          <cell r="G125">
            <v>80000</v>
          </cell>
          <cell r="I125">
            <v>0</v>
          </cell>
          <cell r="J125">
            <v>80000</v>
          </cell>
          <cell r="K125">
            <v>0</v>
          </cell>
        </row>
        <row r="126">
          <cell r="E126">
            <v>600</v>
          </cell>
          <cell r="F126" t="str">
            <v>Km de Camioneta</v>
          </cell>
          <cell r="G126">
            <v>250</v>
          </cell>
          <cell r="I126">
            <v>0</v>
          </cell>
          <cell r="J126">
            <v>150000</v>
          </cell>
          <cell r="K126">
            <v>0</v>
          </cell>
        </row>
        <row r="128">
          <cell r="F128" t="str">
            <v>SUBTOTAL INSTALACIÓN Y FLETES</v>
          </cell>
          <cell r="J128">
            <v>1315500</v>
          </cell>
          <cell r="K128">
            <v>0</v>
          </cell>
          <cell r="L128" t="str">
            <v>U$/Ha=</v>
          </cell>
          <cell r="M128">
            <v>156.79753986984193</v>
          </cell>
        </row>
        <row r="129">
          <cell r="F129" t="str">
            <v>TOTAL NETO</v>
          </cell>
          <cell r="I129" t="str">
            <v/>
          </cell>
          <cell r="J129">
            <v>7454624.0542981252</v>
          </cell>
          <cell r="K129">
            <v>782.46122448979622</v>
          </cell>
          <cell r="L129" t="str">
            <v>U$/Ha=</v>
          </cell>
          <cell r="M129">
            <v>954.84445218126405</v>
          </cell>
        </row>
        <row r="132">
          <cell r="F132" t="str">
            <v>PARTIDA</v>
          </cell>
          <cell r="G132" t="str">
            <v>$</v>
          </cell>
          <cell r="I132" t="str">
            <v>$</v>
          </cell>
          <cell r="J132" t="str">
            <v>+     US$</v>
          </cell>
          <cell r="K132" t="str">
            <v>Descuento</v>
          </cell>
          <cell r="L132" t="str">
            <v>Factor</v>
          </cell>
          <cell r="N132" t="str">
            <v>$</v>
          </cell>
        </row>
        <row r="133">
          <cell r="F133" t="str">
            <v>Tuberías de PVC</v>
          </cell>
          <cell r="G133">
            <v>1262135</v>
          </cell>
          <cell r="I133">
            <v>1262135</v>
          </cell>
          <cell r="J133">
            <v>0</v>
          </cell>
          <cell r="K133">
            <v>35</v>
          </cell>
          <cell r="L133">
            <v>0.65</v>
          </cell>
          <cell r="M133">
            <v>-7.1753813973940983E-2</v>
          </cell>
          <cell r="N133">
            <v>1352698</v>
          </cell>
        </row>
        <row r="134">
          <cell r="F134" t="str">
            <v>Piezas especiales PVC</v>
          </cell>
          <cell r="G134">
            <v>349514</v>
          </cell>
          <cell r="I134">
            <v>349514</v>
          </cell>
          <cell r="J134">
            <v>0</v>
          </cell>
          <cell r="K134">
            <v>10</v>
          </cell>
          <cell r="L134">
            <v>0.9</v>
          </cell>
          <cell r="M134">
            <v>0.18999811166362435</v>
          </cell>
          <cell r="N134">
            <v>283107</v>
          </cell>
        </row>
        <row r="135">
          <cell r="F135" t="str">
            <v>Laterales de polietileno</v>
          </cell>
          <cell r="G135">
            <v>851117</v>
          </cell>
          <cell r="I135">
            <v>851117</v>
          </cell>
          <cell r="J135">
            <v>0</v>
          </cell>
          <cell r="K135">
            <v>10</v>
          </cell>
          <cell r="L135">
            <v>0.9</v>
          </cell>
          <cell r="M135">
            <v>0.20833328437805848</v>
          </cell>
          <cell r="N135">
            <v>673801</v>
          </cell>
        </row>
        <row r="136">
          <cell r="F136" t="str">
            <v>Goteros</v>
          </cell>
          <cell r="G136">
            <v>916541</v>
          </cell>
          <cell r="I136">
            <v>429506</v>
          </cell>
          <cell r="J136">
            <v>685</v>
          </cell>
          <cell r="K136">
            <v>10</v>
          </cell>
          <cell r="L136">
            <v>0.9</v>
          </cell>
          <cell r="M136">
            <v>0.20778339430532838</v>
          </cell>
          <cell r="N136">
            <v>340026</v>
          </cell>
        </row>
        <row r="137">
          <cell r="F137" t="str">
            <v>Microaspersores</v>
          </cell>
          <cell r="G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 t="str">
            <v/>
          </cell>
          <cell r="N137">
            <v>0</v>
          </cell>
        </row>
        <row r="138">
          <cell r="F138" t="str">
            <v>Chicotes</v>
          </cell>
          <cell r="G138">
            <v>107910</v>
          </cell>
          <cell r="I138">
            <v>107910</v>
          </cell>
          <cell r="J138">
            <v>0</v>
          </cell>
          <cell r="K138">
            <v>10</v>
          </cell>
          <cell r="L138">
            <v>0.9</v>
          </cell>
          <cell r="M138">
            <v>0.20833101658789735</v>
          </cell>
          <cell r="N138">
            <v>85429</v>
          </cell>
        </row>
        <row r="139">
          <cell r="F139" t="str">
            <v>Válvulas eléctricas</v>
          </cell>
          <cell r="G139">
            <v>904028</v>
          </cell>
          <cell r="I139">
            <v>904028</v>
          </cell>
          <cell r="J139">
            <v>0</v>
          </cell>
          <cell r="K139">
            <v>0</v>
          </cell>
          <cell r="L139">
            <v>1</v>
          </cell>
          <cell r="M139">
            <v>0.10000022123208574</v>
          </cell>
          <cell r="N139">
            <v>813625</v>
          </cell>
        </row>
        <row r="140">
          <cell r="F140" t="str">
            <v>Válvulas de bola y compuerta</v>
          </cell>
          <cell r="G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 t="str">
            <v/>
          </cell>
          <cell r="N140">
            <v>0</v>
          </cell>
        </row>
        <row r="141">
          <cell r="F141" t="str">
            <v>Válvulas antivacío y control</v>
          </cell>
          <cell r="G141">
            <v>227375</v>
          </cell>
          <cell r="I141">
            <v>227375</v>
          </cell>
          <cell r="J141">
            <v>0</v>
          </cell>
          <cell r="K141">
            <v>0</v>
          </cell>
          <cell r="L141">
            <v>1</v>
          </cell>
          <cell r="M141">
            <v>0.28749862561847167</v>
          </cell>
          <cell r="N141">
            <v>162005</v>
          </cell>
        </row>
        <row r="142">
          <cell r="F142" t="str">
            <v>Equipo de bombeo</v>
          </cell>
          <cell r="G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 t="str">
            <v/>
          </cell>
          <cell r="N142">
            <v>0</v>
          </cell>
        </row>
        <row r="143">
          <cell r="F143" t="str">
            <v>Tablero</v>
          </cell>
          <cell r="G143">
            <v>0</v>
          </cell>
          <cell r="I143">
            <v>0</v>
          </cell>
          <cell r="J143">
            <v>0</v>
          </cell>
          <cell r="K143">
            <v>10</v>
          </cell>
          <cell r="L143">
            <v>0.9</v>
          </cell>
          <cell r="M143" t="str">
            <v/>
          </cell>
          <cell r="N143">
            <v>0</v>
          </cell>
        </row>
        <row r="144">
          <cell r="F144" t="str">
            <v>Filtro</v>
          </cell>
          <cell r="G144">
            <v>0</v>
          </cell>
          <cell r="I144">
            <v>0</v>
          </cell>
          <cell r="J144">
            <v>0</v>
          </cell>
          <cell r="K144">
            <v>10</v>
          </cell>
          <cell r="L144">
            <v>0.9</v>
          </cell>
          <cell r="M144" t="str">
            <v/>
          </cell>
          <cell r="N144">
            <v>0</v>
          </cell>
        </row>
        <row r="145">
          <cell r="F145" t="str">
            <v>Programador</v>
          </cell>
          <cell r="G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 t="str">
            <v/>
          </cell>
          <cell r="N145">
            <v>0</v>
          </cell>
        </row>
        <row r="146">
          <cell r="F146" t="str">
            <v>Cables de señal</v>
          </cell>
          <cell r="G146">
            <v>507780</v>
          </cell>
          <cell r="I146">
            <v>507780</v>
          </cell>
          <cell r="J146">
            <v>0</v>
          </cell>
          <cell r="K146">
            <v>10</v>
          </cell>
          <cell r="L146">
            <v>0.9</v>
          </cell>
          <cell r="M146">
            <v>0.14444444444444443</v>
          </cell>
          <cell r="N146">
            <v>434434</v>
          </cell>
        </row>
        <row r="147">
          <cell r="F147" t="str">
            <v>Venturi y otros elementos caseta</v>
          </cell>
          <cell r="G147">
            <v>22154</v>
          </cell>
          <cell r="I147">
            <v>7223</v>
          </cell>
          <cell r="J147">
            <v>21</v>
          </cell>
          <cell r="K147">
            <v>0</v>
          </cell>
          <cell r="L147">
            <v>1</v>
          </cell>
          <cell r="M147">
            <v>0.28631398393066715</v>
          </cell>
          <cell r="N147">
            <v>5146</v>
          </cell>
        </row>
        <row r="148">
          <cell r="F148" t="str">
            <v>Válvulas y piezas de acero caseta</v>
          </cell>
          <cell r="G148">
            <v>0</v>
          </cell>
          <cell r="I148">
            <v>0</v>
          </cell>
          <cell r="J148">
            <v>0</v>
          </cell>
          <cell r="K148">
            <v>10</v>
          </cell>
          <cell r="L148">
            <v>0.9</v>
          </cell>
          <cell r="M148" t="str">
            <v/>
          </cell>
          <cell r="N148">
            <v>0</v>
          </cell>
        </row>
        <row r="149">
          <cell r="F149" t="str">
            <v xml:space="preserve">TOTAL NETO SUMINISTRO </v>
          </cell>
          <cell r="G149">
            <v>5148554</v>
          </cell>
          <cell r="I149">
            <v>4646588</v>
          </cell>
          <cell r="J149">
            <v>706</v>
          </cell>
          <cell r="K149" t="str">
            <v>U$/HA=</v>
          </cell>
          <cell r="L149">
            <v>613.66826384419176</v>
          </cell>
          <cell r="M149">
            <v>0.11683765966133403</v>
          </cell>
          <cell r="N149">
            <v>4150271</v>
          </cell>
        </row>
        <row r="150">
          <cell r="F150" t="str">
            <v>Proyecto</v>
          </cell>
          <cell r="G150">
            <v>503388.00000000006</v>
          </cell>
          <cell r="I150">
            <v>503388.00000000006</v>
          </cell>
          <cell r="K150" t="str">
            <v>U$/HA=</v>
          </cell>
          <cell r="L150">
            <v>60.000000000000007</v>
          </cell>
          <cell r="M150">
            <v>1.1563180074508609E-16</v>
          </cell>
          <cell r="N150">
            <v>503388</v>
          </cell>
        </row>
        <row r="151">
          <cell r="F151" t="str">
            <v>Fletes y montaje</v>
          </cell>
          <cell r="G151">
            <v>1315500</v>
          </cell>
          <cell r="I151">
            <v>1315500</v>
          </cell>
          <cell r="J151">
            <v>0</v>
          </cell>
          <cell r="K151" t="str">
            <v>U$/HA=</v>
          </cell>
          <cell r="L151">
            <v>156.79753986984193</v>
          </cell>
          <cell r="M151">
            <v>0.3</v>
          </cell>
          <cell r="N151">
            <v>920850</v>
          </cell>
        </row>
        <row r="152">
          <cell r="F152" t="str">
            <v>TOTAL NETO SISTEMA</v>
          </cell>
          <cell r="G152">
            <v>6967442</v>
          </cell>
          <cell r="I152">
            <v>6465476</v>
          </cell>
          <cell r="J152">
            <v>706</v>
          </cell>
          <cell r="K152" t="str">
            <v>U$/HA=</v>
          </cell>
          <cell r="L152">
            <v>830.46580371403365</v>
          </cell>
          <cell r="M152">
            <v>0.14297858525410043</v>
          </cell>
          <cell r="N152">
            <v>5574509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O13"/>
  <sheetViews>
    <sheetView workbookViewId="0">
      <selection activeCell="G7" sqref="G7"/>
    </sheetView>
  </sheetViews>
  <sheetFormatPr baseColWidth="10" defaultRowHeight="15" x14ac:dyDescent="0.25"/>
  <cols>
    <col min="2" max="2" width="0" hidden="1" customWidth="1"/>
    <col min="3" max="3" width="14" bestFit="1" customWidth="1"/>
    <col min="4" max="4" width="12.28515625" customWidth="1"/>
  </cols>
  <sheetData>
    <row r="2" spans="2:15" x14ac:dyDescent="0.25">
      <c r="C2" s="447" t="s">
        <v>279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</row>
    <row r="3" spans="2:15" x14ac:dyDescent="0.25"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</row>
    <row r="4" spans="2:15" ht="15.75" thickBot="1" x14ac:dyDescent="0.3"/>
    <row r="5" spans="2:15" ht="15.75" thickTop="1" x14ac:dyDescent="0.25">
      <c r="C5" s="236"/>
      <c r="D5" s="237"/>
      <c r="E5" s="237"/>
      <c r="F5" s="237"/>
      <c r="G5" s="237"/>
      <c r="H5" s="238"/>
      <c r="I5" s="238"/>
      <c r="J5" s="238"/>
      <c r="K5" s="238"/>
      <c r="L5" s="238"/>
      <c r="M5" s="238"/>
      <c r="N5" s="238"/>
      <c r="O5" s="239"/>
    </row>
    <row r="6" spans="2:15" x14ac:dyDescent="0.25">
      <c r="B6">
        <v>1</v>
      </c>
      <c r="C6" s="225"/>
      <c r="D6" s="215" t="s">
        <v>155</v>
      </c>
      <c r="E6" s="215" t="s">
        <v>156</v>
      </c>
      <c r="F6" s="215" t="s">
        <v>158</v>
      </c>
      <c r="G6" s="215" t="s">
        <v>162</v>
      </c>
      <c r="H6" s="215" t="s">
        <v>164</v>
      </c>
      <c r="I6" s="215" t="s">
        <v>165</v>
      </c>
      <c r="J6" s="215" t="s">
        <v>166</v>
      </c>
      <c r="K6" s="215" t="s">
        <v>167</v>
      </c>
      <c r="L6" s="215" t="s">
        <v>169</v>
      </c>
      <c r="M6" s="215" t="s">
        <v>171</v>
      </c>
      <c r="N6" s="215" t="s">
        <v>172</v>
      </c>
      <c r="O6" s="240" t="s">
        <v>173</v>
      </c>
    </row>
    <row r="7" spans="2:15" x14ac:dyDescent="0.25">
      <c r="B7">
        <v>2</v>
      </c>
      <c r="C7" s="241" t="s">
        <v>174</v>
      </c>
      <c r="D7" s="387">
        <v>182.9</v>
      </c>
      <c r="E7" s="387">
        <v>150.27000000000001</v>
      </c>
      <c r="F7" s="387">
        <v>133.30000000000001</v>
      </c>
      <c r="G7" s="387">
        <v>93</v>
      </c>
      <c r="H7" s="387"/>
      <c r="I7" s="387"/>
      <c r="J7" s="387"/>
      <c r="K7" s="387"/>
      <c r="L7" s="387">
        <v>84</v>
      </c>
      <c r="M7" s="387">
        <v>120.9</v>
      </c>
      <c r="N7" s="387">
        <v>150</v>
      </c>
      <c r="O7" s="388">
        <v>179.8</v>
      </c>
    </row>
    <row r="8" spans="2:15" x14ac:dyDescent="0.25">
      <c r="B8">
        <v>3</v>
      </c>
      <c r="C8" s="241" t="s">
        <v>175</v>
      </c>
      <c r="D8" s="380">
        <f>+IF(D7&gt;0,31,0)</f>
        <v>31</v>
      </c>
      <c r="E8" s="204">
        <f>+IF(E7&gt;0,29,0)</f>
        <v>29</v>
      </c>
      <c r="F8" s="204">
        <f>+IF(F7&gt;0,31,0)</f>
        <v>31</v>
      </c>
      <c r="G8" s="204">
        <f>+IF(G7&gt;0,30,0)</f>
        <v>30</v>
      </c>
      <c r="H8" s="204">
        <f>+IF(H7&gt;0,31,0)</f>
        <v>0</v>
      </c>
      <c r="I8" s="204">
        <f>+IF(I7&gt;0,30,0)</f>
        <v>0</v>
      </c>
      <c r="J8" s="204">
        <f>+IF(J7&gt;0,31,0)</f>
        <v>0</v>
      </c>
      <c r="K8" s="204">
        <f>+IF(K7&gt;0,31,0)</f>
        <v>0</v>
      </c>
      <c r="L8" s="204">
        <f>+IF(L7&gt;0,30,0)</f>
        <v>30</v>
      </c>
      <c r="M8" s="204">
        <f>+IF(M7&gt;0,31,0)</f>
        <v>31</v>
      </c>
      <c r="N8" s="204">
        <f>+IF(N7&gt;0,30,0)</f>
        <v>30</v>
      </c>
      <c r="O8" s="356">
        <f>+IF(O7&gt;0,31,0)</f>
        <v>31</v>
      </c>
    </row>
    <row r="9" spans="2:15" ht="15.75" thickBot="1" x14ac:dyDescent="0.3">
      <c r="C9" s="242"/>
      <c r="D9" s="58"/>
      <c r="E9" s="58"/>
      <c r="F9" s="185"/>
      <c r="G9" s="185"/>
      <c r="H9" s="185"/>
      <c r="I9" s="185"/>
      <c r="J9" s="185"/>
      <c r="K9" s="185"/>
      <c r="L9" s="185"/>
      <c r="M9" s="185"/>
      <c r="N9" s="185"/>
      <c r="O9" s="243"/>
    </row>
    <row r="10" spans="2:15" ht="15.75" thickTop="1" x14ac:dyDescent="0.25"/>
    <row r="11" spans="2:15" ht="15.75" thickBot="1" x14ac:dyDescent="0.3"/>
    <row r="12" spans="2:15" ht="16.5" thickTop="1" thickBot="1" x14ac:dyDescent="0.3">
      <c r="C12" s="445" t="s">
        <v>196</v>
      </c>
      <c r="D12" s="446"/>
      <c r="E12" s="389" t="s">
        <v>155</v>
      </c>
      <c r="I12" s="448" t="s">
        <v>225</v>
      </c>
      <c r="J12" s="448"/>
      <c r="K12" s="448"/>
    </row>
    <row r="13" spans="2:15" ht="15.75" thickTop="1" x14ac:dyDescent="0.25">
      <c r="I13" s="448"/>
      <c r="J13" s="448"/>
      <c r="K13" s="448"/>
    </row>
  </sheetData>
  <sheetProtection password="D4A7" sheet="1" objects="1" scenarios="1"/>
  <mergeCells count="3">
    <mergeCell ref="C12:D12"/>
    <mergeCell ref="C2:O3"/>
    <mergeCell ref="I12:K13"/>
  </mergeCells>
  <dataValidations count="1">
    <dataValidation type="list" allowBlank="1" showInputMessage="1" showErrorMessage="1" sqref="E12" xr:uid="{00000000-0002-0000-0000-000000000000}">
      <formula1>$D$6:$O$6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W76"/>
  <sheetViews>
    <sheetView workbookViewId="0">
      <selection activeCell="D6" sqref="D6"/>
    </sheetView>
  </sheetViews>
  <sheetFormatPr baseColWidth="10" defaultRowHeight="12.75" x14ac:dyDescent="0.25"/>
  <cols>
    <col min="1" max="1" width="5.140625" style="2" customWidth="1"/>
    <col min="2" max="2" width="33" style="1" bestFit="1" customWidth="1"/>
    <col min="3" max="3" width="1.42578125" style="1" customWidth="1"/>
    <col min="4" max="4" width="19.7109375" style="1" customWidth="1"/>
    <col min="5" max="5" width="7.7109375" style="1" bestFit="1" customWidth="1"/>
    <col min="6" max="6" width="5.5703125" style="1" customWidth="1"/>
    <col min="7" max="7" width="7.42578125" style="1" customWidth="1"/>
    <col min="8" max="8" width="9.140625" style="1" customWidth="1"/>
    <col min="9" max="9" width="2.85546875" style="1" customWidth="1"/>
    <col min="10" max="10" width="2.5703125" style="1" hidden="1" customWidth="1"/>
    <col min="11" max="11" width="16.140625" style="1" customWidth="1"/>
    <col min="12" max="12" width="11.42578125" style="1"/>
    <col min="13" max="13" width="13.5703125" style="1" bestFit="1" customWidth="1"/>
    <col min="14" max="14" width="13.28515625" style="1" customWidth="1"/>
    <col min="15" max="15" width="15.140625" style="1" customWidth="1"/>
    <col min="16" max="22" width="11.42578125" style="1"/>
    <col min="23" max="23" width="10.140625" style="1" bestFit="1" customWidth="1"/>
    <col min="24" max="16384" width="11.42578125" style="1"/>
  </cols>
  <sheetData>
    <row r="1" spans="1:23" x14ac:dyDescent="0.25">
      <c r="A1" s="1"/>
      <c r="B1" s="2"/>
      <c r="C1" s="2"/>
      <c r="D1" s="3"/>
      <c r="E1" s="2"/>
      <c r="F1" s="2"/>
      <c r="G1" s="3"/>
      <c r="H1" s="3"/>
      <c r="I1" s="4"/>
      <c r="J1" s="4"/>
      <c r="K1" s="2"/>
      <c r="L1" s="2"/>
      <c r="M1" s="2"/>
      <c r="N1" s="2"/>
      <c r="O1" s="2"/>
      <c r="P1" s="2"/>
      <c r="Q1" s="2"/>
      <c r="R1" s="2"/>
    </row>
    <row r="2" spans="1:23" ht="13.5" thickBot="1" x14ac:dyDescent="0.3">
      <c r="A2" s="1"/>
      <c r="B2" s="185"/>
      <c r="C2" s="185"/>
      <c r="D2" s="58"/>
      <c r="E2" s="2"/>
      <c r="F2" s="2"/>
      <c r="G2" s="3"/>
      <c r="H2" s="3"/>
      <c r="I2" s="4"/>
      <c r="J2" s="4"/>
      <c r="K2" s="2"/>
      <c r="L2" s="2"/>
      <c r="M2" s="2"/>
      <c r="N2" s="2"/>
      <c r="O2" s="2"/>
      <c r="P2" s="2"/>
      <c r="Q2" s="2"/>
      <c r="R2" s="2"/>
    </row>
    <row r="3" spans="1:23" ht="14.25" thickTop="1" thickBot="1" x14ac:dyDescent="0.3">
      <c r="A3" s="1"/>
      <c r="B3" s="186" t="s">
        <v>269</v>
      </c>
      <c r="C3" s="187" t="s">
        <v>1</v>
      </c>
      <c r="D3" s="389">
        <v>2.5</v>
      </c>
      <c r="E3" s="2"/>
      <c r="F3" s="2"/>
      <c r="G3" s="3"/>
      <c r="H3" s="3"/>
      <c r="I3" s="4"/>
      <c r="J3" s="4"/>
      <c r="K3" s="2"/>
      <c r="L3" s="2"/>
      <c r="M3" s="2"/>
      <c r="N3" s="2"/>
      <c r="O3" s="2"/>
      <c r="P3" s="2"/>
      <c r="Q3" s="2"/>
      <c r="R3" s="2"/>
    </row>
    <row r="4" spans="1:23" ht="16.5" thickTop="1" thickBot="1" x14ac:dyDescent="0.3">
      <c r="A4" s="1"/>
      <c r="B4" s="186" t="s">
        <v>270</v>
      </c>
      <c r="C4" s="187" t="s">
        <v>1</v>
      </c>
      <c r="D4" s="389">
        <v>10000</v>
      </c>
      <c r="E4" s="2"/>
      <c r="F4" s="2"/>
      <c r="G4" s="379"/>
      <c r="H4" s="379"/>
      <c r="I4" s="4"/>
      <c r="J4" s="4"/>
      <c r="K4" s="2"/>
      <c r="L4" s="2"/>
      <c r="M4" s="2"/>
      <c r="N4" s="2"/>
      <c r="O4" s="2"/>
      <c r="P4" s="2"/>
      <c r="Q4" s="2"/>
      <c r="R4" s="2"/>
    </row>
    <row r="5" spans="1:23" ht="14.25" thickTop="1" thickBot="1" x14ac:dyDescent="0.3">
      <c r="A5" s="1"/>
      <c r="B5" s="186" t="s">
        <v>195</v>
      </c>
      <c r="C5" s="187" t="s">
        <v>1</v>
      </c>
      <c r="D5" s="389">
        <v>8</v>
      </c>
      <c r="E5" s="2"/>
      <c r="F5" s="2"/>
      <c r="G5" s="193"/>
      <c r="H5" s="193"/>
      <c r="I5" s="4"/>
      <c r="J5" s="4"/>
      <c r="K5" s="2"/>
      <c r="L5" s="2"/>
      <c r="M5" s="2"/>
      <c r="N5" s="2"/>
      <c r="O5" s="2"/>
      <c r="P5" s="2"/>
      <c r="Q5" s="2"/>
      <c r="R5" s="2"/>
    </row>
    <row r="6" spans="1:23" ht="14.25" thickTop="1" thickBot="1" x14ac:dyDescent="0.3">
      <c r="A6" s="1"/>
      <c r="B6" s="186" t="s">
        <v>196</v>
      </c>
      <c r="C6" s="187" t="s">
        <v>1</v>
      </c>
      <c r="D6" s="192" t="str">
        <f>+ETP!$E$12</f>
        <v>Enero</v>
      </c>
      <c r="E6" s="2"/>
      <c r="F6" s="2"/>
      <c r="G6" s="193"/>
      <c r="H6" s="193"/>
      <c r="I6" s="4"/>
      <c r="J6" s="4"/>
      <c r="K6" s="2"/>
      <c r="L6" s="2"/>
      <c r="M6" s="2"/>
      <c r="N6" s="2"/>
      <c r="O6" s="2"/>
      <c r="P6" s="2"/>
      <c r="Q6" s="2"/>
      <c r="R6" s="2"/>
    </row>
    <row r="7" spans="1:23" ht="14.25" thickTop="1" thickBot="1" x14ac:dyDescent="0.3">
      <c r="A7" s="1"/>
      <c r="B7" s="186" t="s">
        <v>262</v>
      </c>
      <c r="C7" s="187" t="s">
        <v>1</v>
      </c>
      <c r="D7" s="389" t="s">
        <v>280</v>
      </c>
      <c r="E7" s="2"/>
      <c r="F7" s="2"/>
      <c r="G7" s="379"/>
      <c r="H7" s="379"/>
      <c r="I7" s="4"/>
      <c r="J7" s="4"/>
      <c r="K7" s="2"/>
      <c r="L7" s="2"/>
      <c r="M7" s="2"/>
      <c r="N7" s="2"/>
      <c r="O7" s="2"/>
      <c r="P7" s="2"/>
      <c r="Q7" s="2"/>
      <c r="R7" s="2"/>
    </row>
    <row r="8" spans="1:23" ht="13.5" thickTop="1" x14ac:dyDescent="0.25">
      <c r="A8" s="1"/>
      <c r="B8" s="2"/>
      <c r="C8" s="2"/>
      <c r="D8" s="193"/>
      <c r="E8" s="2"/>
      <c r="F8" s="2"/>
      <c r="G8" s="193"/>
      <c r="H8" s="193"/>
      <c r="I8" s="4"/>
      <c r="J8" s="4"/>
      <c r="K8" s="2"/>
      <c r="L8" s="2"/>
      <c r="M8" s="2"/>
      <c r="N8" s="2"/>
      <c r="O8" s="2"/>
      <c r="P8" s="2"/>
      <c r="Q8" s="2"/>
      <c r="R8" s="2"/>
    </row>
    <row r="9" spans="1:23" x14ac:dyDescent="0.25">
      <c r="G9" s="456" t="s">
        <v>225</v>
      </c>
      <c r="H9" s="456"/>
      <c r="I9" s="456"/>
    </row>
    <row r="10" spans="1:23" x14ac:dyDescent="0.25">
      <c r="A10" s="1"/>
      <c r="B10" s="449" t="s">
        <v>0</v>
      </c>
      <c r="C10" s="449"/>
      <c r="D10" s="449"/>
      <c r="E10" s="2"/>
      <c r="F10" s="2"/>
      <c r="G10" s="456"/>
      <c r="H10" s="456"/>
      <c r="I10" s="456"/>
    </row>
    <row r="11" spans="1:23" ht="13.5" thickBot="1" x14ac:dyDescent="0.3">
      <c r="A11" s="1"/>
      <c r="B11" s="6"/>
      <c r="C11" s="7"/>
      <c r="D11" s="2"/>
      <c r="E11" s="2"/>
      <c r="F11" s="2"/>
    </row>
    <row r="12" spans="1:23" ht="36.75" customHeight="1" thickTop="1" thickBot="1" x14ac:dyDescent="0.3">
      <c r="A12" s="1"/>
      <c r="B12" s="8" t="s">
        <v>139</v>
      </c>
      <c r="C12" s="9" t="s">
        <v>1</v>
      </c>
      <c r="D12" s="450" t="s">
        <v>266</v>
      </c>
      <c r="E12" s="451"/>
      <c r="F12" s="261"/>
    </row>
    <row r="13" spans="1:23" ht="13.5" thickTop="1" x14ac:dyDescent="0.25">
      <c r="A13" s="1"/>
      <c r="B13" s="10" t="s">
        <v>2</v>
      </c>
      <c r="C13" s="11" t="s">
        <v>1</v>
      </c>
      <c r="D13" s="390">
        <v>5</v>
      </c>
      <c r="E13" s="12" t="s">
        <v>3</v>
      </c>
      <c r="F13" s="25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x14ac:dyDescent="0.25">
      <c r="A14" s="1"/>
      <c r="B14" s="10" t="s">
        <v>4</v>
      </c>
      <c r="C14" s="11" t="s">
        <v>1</v>
      </c>
      <c r="D14" s="390">
        <v>2</v>
      </c>
      <c r="E14" s="12" t="s">
        <v>3</v>
      </c>
      <c r="F14" s="257"/>
      <c r="J14" s="2"/>
      <c r="K14" s="455" t="s">
        <v>205</v>
      </c>
      <c r="L14" s="455"/>
      <c r="M14" s="2"/>
      <c r="N14" s="455" t="s">
        <v>273</v>
      </c>
      <c r="O14" s="455"/>
      <c r="P14" s="2"/>
      <c r="Q14" s="2"/>
      <c r="R14" s="2"/>
      <c r="S14" s="2"/>
      <c r="T14" s="2"/>
      <c r="U14" s="2"/>
      <c r="V14" s="2"/>
      <c r="W14" s="2"/>
    </row>
    <row r="15" spans="1:23" x14ac:dyDescent="0.25">
      <c r="A15" s="1"/>
      <c r="B15" s="10" t="s">
        <v>124</v>
      </c>
      <c r="C15" s="11" t="s">
        <v>1</v>
      </c>
      <c r="D15" s="246">
        <f>ROUND(HLOOKUP($D$6,ETP!$B$6:$O$8,ETP!B7,0)/(HLOOKUP($D$6,ETP!$B$6:$O$8,ETP!$B$8,0)),2)</f>
        <v>5.9</v>
      </c>
      <c r="E15" s="21" t="s">
        <v>10</v>
      </c>
      <c r="F15" s="262"/>
      <c r="J15" s="2"/>
      <c r="K15" s="454" t="str">
        <f xml:space="preserve"> IF($D$5&gt;=$D$35,"Cumple","No cumple, disminuir N° sectores")</f>
        <v>No cumple, disminuir N° sectores</v>
      </c>
      <c r="L15" s="454"/>
      <c r="M15" s="2"/>
      <c r="N15" s="454">
        <f>+D29</f>
        <v>2.0454545454545459</v>
      </c>
      <c r="O15" s="454"/>
      <c r="P15" s="2"/>
      <c r="Q15" s="2"/>
      <c r="R15" s="2"/>
      <c r="S15" s="2"/>
      <c r="T15" s="2"/>
      <c r="U15" s="2"/>
      <c r="V15" s="2"/>
      <c r="W15" s="2"/>
    </row>
    <row r="16" spans="1:23" x14ac:dyDescent="0.25">
      <c r="A16" s="1"/>
      <c r="B16" s="10" t="s">
        <v>125</v>
      </c>
      <c r="C16" s="11" t="s">
        <v>1</v>
      </c>
      <c r="D16" s="390">
        <v>0.9</v>
      </c>
      <c r="E16" s="16"/>
      <c r="F16" s="53"/>
      <c r="J16" s="2"/>
      <c r="K16" s="454"/>
      <c r="L16" s="454"/>
      <c r="M16" s="2"/>
      <c r="N16" s="454"/>
      <c r="O16" s="454"/>
      <c r="P16" s="2"/>
      <c r="Q16" s="2"/>
      <c r="R16" s="2"/>
      <c r="S16" s="2"/>
      <c r="T16" s="2"/>
      <c r="U16" s="2"/>
      <c r="V16" s="2"/>
      <c r="W16" s="2"/>
    </row>
    <row r="17" spans="1:23" x14ac:dyDescent="0.25">
      <c r="A17" s="1"/>
      <c r="B17" s="10" t="s">
        <v>9</v>
      </c>
      <c r="C17" s="11" t="s">
        <v>1</v>
      </c>
      <c r="D17" s="181">
        <f>+D15*D16/(D19/100)</f>
        <v>5.9</v>
      </c>
      <c r="E17" s="21" t="s">
        <v>10</v>
      </c>
      <c r="F17" s="262"/>
      <c r="J17" s="3"/>
      <c r="K17" s="454"/>
      <c r="L17" s="454"/>
      <c r="M17" s="3"/>
      <c r="N17" s="454"/>
      <c r="O17" s="454"/>
      <c r="P17" s="2"/>
      <c r="Q17" s="2"/>
      <c r="R17" s="2"/>
      <c r="S17" s="2"/>
      <c r="T17" s="2"/>
      <c r="U17" s="2"/>
      <c r="V17" s="2"/>
      <c r="W17" s="2"/>
    </row>
    <row r="18" spans="1:23" x14ac:dyDescent="0.25">
      <c r="A18" s="1"/>
      <c r="B18" s="10" t="s">
        <v>11</v>
      </c>
      <c r="C18" s="11" t="s">
        <v>1</v>
      </c>
      <c r="D18" s="22">
        <f>+D17*D19/100</f>
        <v>5.31</v>
      </c>
      <c r="E18" s="23" t="s">
        <v>10</v>
      </c>
      <c r="F18" s="263"/>
      <c r="G18" s="2"/>
      <c r="H18" s="2"/>
      <c r="J18" s="3"/>
      <c r="K18" s="454"/>
      <c r="L18" s="454"/>
      <c r="M18" s="3"/>
      <c r="N18" s="454"/>
      <c r="O18" s="454"/>
      <c r="P18" s="2"/>
      <c r="Q18" s="2"/>
      <c r="R18" s="2"/>
      <c r="S18" s="2"/>
      <c r="T18" s="2"/>
      <c r="U18" s="2"/>
      <c r="V18" s="2"/>
      <c r="W18" s="2"/>
    </row>
    <row r="19" spans="1:23" ht="13.5" thickBot="1" x14ac:dyDescent="0.3">
      <c r="A19" s="1"/>
      <c r="B19" s="17" t="s">
        <v>12</v>
      </c>
      <c r="C19" s="18" t="s">
        <v>1</v>
      </c>
      <c r="D19" s="182">
        <v>90</v>
      </c>
      <c r="E19" s="183" t="s">
        <v>13</v>
      </c>
      <c r="F19" s="257"/>
      <c r="G19" s="459" t="s">
        <v>134</v>
      </c>
      <c r="H19" s="459"/>
      <c r="J19" s="3"/>
      <c r="K19" s="3"/>
      <c r="L19" s="3"/>
      <c r="M19" s="3"/>
      <c r="N19" s="458"/>
      <c r="O19" s="458"/>
      <c r="P19" s="2"/>
      <c r="Q19" s="2"/>
      <c r="R19" s="2"/>
      <c r="S19" s="2"/>
      <c r="T19" s="2"/>
      <c r="U19" s="2"/>
      <c r="V19" s="2"/>
      <c r="W19" s="2"/>
    </row>
    <row r="20" spans="1:23" ht="25.5" customHeight="1" thickTop="1" x14ac:dyDescent="0.25">
      <c r="A20" s="1"/>
      <c r="B20" s="352" t="s">
        <v>15</v>
      </c>
      <c r="C20" s="353" t="s">
        <v>1</v>
      </c>
      <c r="D20" s="452" t="s">
        <v>267</v>
      </c>
      <c r="E20" s="453"/>
      <c r="F20" s="270"/>
      <c r="G20" s="460">
        <v>500</v>
      </c>
      <c r="H20" s="460"/>
      <c r="I20" s="56"/>
      <c r="J20" s="24"/>
      <c r="K20" s="455" t="s">
        <v>271</v>
      </c>
      <c r="L20" s="455"/>
      <c r="M20" s="24"/>
      <c r="N20" s="455" t="s">
        <v>272</v>
      </c>
      <c r="O20" s="455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1"/>
      <c r="B21" s="10" t="s">
        <v>16</v>
      </c>
      <c r="C21" s="337" t="s">
        <v>1</v>
      </c>
      <c r="D21" s="391">
        <v>10</v>
      </c>
      <c r="E21" s="12" t="s">
        <v>17</v>
      </c>
      <c r="F21" s="270"/>
      <c r="J21" s="24"/>
      <c r="K21" s="454" t="str">
        <f>+IF($D$52="Aumentar N° sectores","No cumple, aumentar N° sectores","Cumple")</f>
        <v>Cumple</v>
      </c>
      <c r="L21" s="454"/>
      <c r="M21" s="357"/>
      <c r="N21" s="454" t="str">
        <f>+IF($D$4&gt;0,(IF($D$4&gt;$K$73,"Cumple","No cumple, aumentar N° sectores")),"No Aplica")</f>
        <v>Cumple</v>
      </c>
      <c r="O21" s="454"/>
      <c r="P21" s="357"/>
      <c r="Q21" s="357"/>
      <c r="R21" s="357"/>
      <c r="S21" s="357"/>
      <c r="T21" s="357"/>
      <c r="U21" s="357"/>
      <c r="V21" s="357"/>
      <c r="W21" s="357"/>
    </row>
    <row r="22" spans="1:23" ht="13.5" thickBot="1" x14ac:dyDescent="0.3">
      <c r="A22" s="1"/>
      <c r="B22" s="17" t="s">
        <v>18</v>
      </c>
      <c r="C22" s="18" t="s">
        <v>1</v>
      </c>
      <c r="D22" s="392">
        <v>2.2000000000000002</v>
      </c>
      <c r="E22" s="183" t="s">
        <v>19</v>
      </c>
      <c r="F22" s="257"/>
      <c r="J22" s="24"/>
      <c r="K22" s="454"/>
      <c r="L22" s="454"/>
      <c r="M22" s="357"/>
      <c r="N22" s="454"/>
      <c r="O22" s="454"/>
      <c r="P22" s="358"/>
      <c r="Q22" s="358"/>
      <c r="R22" s="358"/>
      <c r="S22" s="358"/>
      <c r="T22" s="358"/>
      <c r="U22" s="358"/>
      <c r="V22" s="358"/>
      <c r="W22" s="358"/>
    </row>
    <row r="23" spans="1:23" ht="15.75" thickTop="1" x14ac:dyDescent="0.25">
      <c r="A23" s="1"/>
      <c r="B23" s="10" t="s">
        <v>20</v>
      </c>
      <c r="C23" s="11" t="s">
        <v>1</v>
      </c>
      <c r="D23" s="390">
        <v>2</v>
      </c>
      <c r="E23" s="25"/>
      <c r="F23" s="264"/>
      <c r="J23" s="244">
        <v>1</v>
      </c>
      <c r="K23" s="454"/>
      <c r="L23" s="454"/>
      <c r="M23" s="197"/>
      <c r="N23" s="454"/>
      <c r="O23" s="454"/>
      <c r="P23" s="197"/>
      <c r="Q23" s="197"/>
      <c r="R23" s="197"/>
      <c r="S23" s="197"/>
      <c r="T23" s="197"/>
      <c r="U23" s="197"/>
      <c r="V23" s="197"/>
      <c r="W23" s="359"/>
    </row>
    <row r="24" spans="1:23" ht="15" x14ac:dyDescent="0.25">
      <c r="A24" s="1"/>
      <c r="B24" s="10" t="s">
        <v>21</v>
      </c>
      <c r="C24" s="11" t="s">
        <v>1</v>
      </c>
      <c r="D24" s="274">
        <f>+D14/D25*D23</f>
        <v>8</v>
      </c>
      <c r="E24" s="12"/>
      <c r="F24" s="257"/>
      <c r="J24" s="245">
        <v>2</v>
      </c>
      <c r="K24" s="213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</row>
    <row r="25" spans="1:23" ht="15" x14ac:dyDescent="0.25">
      <c r="A25" s="1"/>
      <c r="B25" s="10" t="s">
        <v>22</v>
      </c>
      <c r="C25" s="11" t="s">
        <v>1</v>
      </c>
      <c r="D25" s="393">
        <v>0.5</v>
      </c>
      <c r="E25" s="12" t="s">
        <v>3</v>
      </c>
      <c r="F25" s="257"/>
      <c r="J25" s="245">
        <v>3</v>
      </c>
      <c r="K25" s="213"/>
      <c r="L25" s="197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</row>
    <row r="26" spans="1:23" x14ac:dyDescent="0.25">
      <c r="A26" s="1"/>
      <c r="B26" s="10" t="s">
        <v>23</v>
      </c>
      <c r="C26" s="11" t="s">
        <v>1</v>
      </c>
      <c r="D26" s="26">
        <f>D31*D24</f>
        <v>8000</v>
      </c>
      <c r="E26" s="27"/>
      <c r="F26" s="265"/>
      <c r="J26" s="245"/>
      <c r="K26" s="360"/>
      <c r="L26" s="360"/>
      <c r="M26" s="360"/>
      <c r="N26" s="358"/>
      <c r="O26" s="358"/>
      <c r="P26" s="358"/>
      <c r="Q26" s="358"/>
      <c r="R26" s="358"/>
      <c r="S26" s="358"/>
      <c r="T26" s="358"/>
      <c r="U26" s="358"/>
      <c r="V26" s="358"/>
      <c r="W26" s="358"/>
    </row>
    <row r="27" spans="1:23" ht="13.5" thickBot="1" x14ac:dyDescent="0.3">
      <c r="A27" s="1"/>
      <c r="B27" s="17" t="s">
        <v>24</v>
      </c>
      <c r="C27" s="18" t="s">
        <v>1</v>
      </c>
      <c r="D27" s="28">
        <f>D26*D22/60/60</f>
        <v>4.8888888888888884</v>
      </c>
      <c r="E27" s="20" t="s">
        <v>25</v>
      </c>
      <c r="F27" s="53"/>
      <c r="J27" s="3"/>
      <c r="K27" s="3"/>
      <c r="L27" s="3"/>
      <c r="M27" s="3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3.5" thickTop="1" x14ac:dyDescent="0.25">
      <c r="A28" s="1"/>
      <c r="B28" s="10" t="s">
        <v>14</v>
      </c>
      <c r="C28" s="11" t="s">
        <v>1</v>
      </c>
      <c r="D28" s="390">
        <v>4</v>
      </c>
      <c r="E28" s="12"/>
      <c r="F28" s="257"/>
      <c r="G28" s="271"/>
      <c r="H28" s="271"/>
      <c r="I28" s="271"/>
      <c r="J28" s="24"/>
      <c r="K28" s="24"/>
      <c r="L28" s="24"/>
      <c r="M28" s="24"/>
      <c r="N28" s="24"/>
      <c r="O28" s="24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1"/>
      <c r="B29" s="10" t="s">
        <v>126</v>
      </c>
      <c r="C29" s="11"/>
      <c r="D29" s="184">
        <f>+D3*D28/D27</f>
        <v>2.0454545454545459</v>
      </c>
      <c r="E29" s="12" t="s">
        <v>6</v>
      </c>
      <c r="F29" s="257"/>
      <c r="J29" s="24"/>
      <c r="K29" s="24"/>
      <c r="L29" s="24"/>
      <c r="M29" s="24"/>
      <c r="N29" s="24"/>
      <c r="O29" s="24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1"/>
      <c r="B30" s="10" t="s">
        <v>127</v>
      </c>
      <c r="C30" s="11" t="s">
        <v>1</v>
      </c>
      <c r="D30" s="393">
        <v>0.9</v>
      </c>
      <c r="E30" s="13" t="s">
        <v>6</v>
      </c>
      <c r="F30" s="266"/>
      <c r="J30" s="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1"/>
      <c r="B31" s="14" t="s">
        <v>7</v>
      </c>
      <c r="C31" s="11" t="s">
        <v>1</v>
      </c>
      <c r="D31" s="15">
        <f>10000/D13/D14</f>
        <v>1000</v>
      </c>
      <c r="E31" s="16"/>
      <c r="F31" s="53"/>
      <c r="J31" s="3"/>
      <c r="K31" s="3"/>
      <c r="L31" s="3"/>
      <c r="M31" s="3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3.5" thickBot="1" x14ac:dyDescent="0.3">
      <c r="A32" s="1"/>
      <c r="B32" s="17" t="s">
        <v>8</v>
      </c>
      <c r="C32" s="18" t="s">
        <v>1</v>
      </c>
      <c r="D32" s="19">
        <f>TRUNC(D30*10000/D13/D14,0)</f>
        <v>900</v>
      </c>
      <c r="E32" s="20"/>
      <c r="F32" s="5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3.5" thickTop="1" x14ac:dyDescent="0.25">
      <c r="A33" s="1"/>
      <c r="B33" s="10" t="s">
        <v>26</v>
      </c>
      <c r="C33" s="11" t="s">
        <v>1</v>
      </c>
      <c r="D33" s="29">
        <f>D27*60/10000*60</f>
        <v>1.76</v>
      </c>
      <c r="E33" s="30" t="s">
        <v>27</v>
      </c>
      <c r="F33" s="267"/>
      <c r="J33" s="3"/>
      <c r="K33" s="3"/>
      <c r="L33" s="3"/>
      <c r="M33" s="3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1"/>
      <c r="B34" s="10" t="s">
        <v>28</v>
      </c>
      <c r="C34" s="11" t="s">
        <v>1</v>
      </c>
      <c r="D34" s="29">
        <f>+D17/D33</f>
        <v>3.3522727272727275</v>
      </c>
      <c r="E34" s="31" t="s">
        <v>29</v>
      </c>
      <c r="F34" s="268"/>
      <c r="J34" s="3"/>
      <c r="K34" s="3"/>
      <c r="L34" s="3"/>
      <c r="M34" s="3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3.5" thickBot="1" x14ac:dyDescent="0.3">
      <c r="A35" s="1"/>
      <c r="B35" s="17" t="s">
        <v>30</v>
      </c>
      <c r="C35" s="18" t="s">
        <v>1</v>
      </c>
      <c r="D35" s="32">
        <f>D34*D28</f>
        <v>13.40909090909091</v>
      </c>
      <c r="E35" s="33" t="s">
        <v>29</v>
      </c>
      <c r="F35" s="268"/>
      <c r="J35" s="3"/>
      <c r="K35" s="3"/>
      <c r="L35" s="3"/>
      <c r="M35" s="3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4.25" thickTop="1" thickBot="1" x14ac:dyDescent="0.3">
      <c r="A36" s="1"/>
      <c r="B36" s="11"/>
      <c r="C36" s="11"/>
      <c r="E36" s="34"/>
      <c r="F36" s="34"/>
      <c r="H36" s="24"/>
      <c r="I36" s="3"/>
      <c r="J36" s="3"/>
      <c r="K36" s="3"/>
      <c r="L36" s="6"/>
      <c r="M36" s="6"/>
      <c r="N36" s="2"/>
      <c r="O36" s="2"/>
      <c r="P36" s="2"/>
      <c r="Q36" s="2"/>
      <c r="R36" s="2"/>
      <c r="S36" s="2"/>
      <c r="T36" s="2"/>
      <c r="U36" s="2"/>
    </row>
    <row r="37" spans="1:23" ht="14.25" thickTop="1" thickBot="1" x14ac:dyDescent="0.3">
      <c r="A37" s="1"/>
      <c r="B37" s="186" t="s">
        <v>215</v>
      </c>
      <c r="C37" s="187" t="s">
        <v>1</v>
      </c>
      <c r="D37" s="389">
        <v>242</v>
      </c>
      <c r="E37" s="2"/>
      <c r="F37" s="2"/>
      <c r="G37" s="376"/>
      <c r="H37" s="376"/>
      <c r="I37" s="4"/>
      <c r="J37" s="4"/>
      <c r="K37" s="2"/>
      <c r="L37" s="2"/>
      <c r="M37" s="2"/>
      <c r="N37" s="2"/>
      <c r="O37" s="2"/>
      <c r="P37" s="2"/>
      <c r="Q37" s="2"/>
      <c r="R37" s="2"/>
    </row>
    <row r="38" spans="1:23" ht="14.25" thickTop="1" thickBot="1" x14ac:dyDescent="0.3">
      <c r="A38" s="1"/>
      <c r="B38" s="186" t="s">
        <v>260</v>
      </c>
      <c r="C38" s="187" t="s">
        <v>1</v>
      </c>
      <c r="D38" s="389">
        <v>100</v>
      </c>
      <c r="E38" s="2"/>
      <c r="F38" s="2"/>
      <c r="G38" s="5"/>
      <c r="H38" s="376"/>
      <c r="I38" s="4"/>
      <c r="J38" s="4"/>
      <c r="K38" s="2"/>
      <c r="L38" s="2"/>
      <c r="M38" s="2"/>
      <c r="N38" s="2"/>
      <c r="O38" s="2"/>
      <c r="P38" s="2"/>
      <c r="Q38" s="2"/>
      <c r="R38" s="2"/>
    </row>
    <row r="39" spans="1:23" ht="14.25" thickTop="1" thickBot="1" x14ac:dyDescent="0.3">
      <c r="A39" s="1"/>
      <c r="B39" s="186" t="s">
        <v>259</v>
      </c>
      <c r="C39" s="187" t="s">
        <v>1</v>
      </c>
      <c r="D39" s="389">
        <v>200</v>
      </c>
      <c r="E39" s="2"/>
      <c r="F39" s="2"/>
      <c r="G39" s="376"/>
      <c r="H39" s="376"/>
      <c r="I39" s="4"/>
      <c r="J39" s="4"/>
      <c r="K39" s="2"/>
      <c r="L39" s="2"/>
      <c r="M39" s="2"/>
      <c r="N39" s="2"/>
      <c r="O39" s="2"/>
      <c r="P39" s="2"/>
      <c r="Q39" s="2"/>
      <c r="R39" s="2"/>
    </row>
    <row r="40" spans="1:23" ht="14.25" thickTop="1" thickBot="1" x14ac:dyDescent="0.3">
      <c r="B40" s="186" t="s">
        <v>128</v>
      </c>
      <c r="C40" s="187" t="s">
        <v>1</v>
      </c>
      <c r="D40" s="389">
        <v>-1</v>
      </c>
    </row>
    <row r="41" spans="1:23" ht="14.25" thickTop="1" thickBot="1" x14ac:dyDescent="0.3">
      <c r="B41" s="259"/>
      <c r="C41" s="259"/>
      <c r="D41" s="258"/>
      <c r="E41" s="2"/>
      <c r="F41" s="2"/>
    </row>
    <row r="42" spans="1:23" ht="14.25" thickTop="1" thickBot="1" x14ac:dyDescent="0.3">
      <c r="B42" s="186" t="s">
        <v>197</v>
      </c>
      <c r="C42" s="187" t="s">
        <v>1</v>
      </c>
      <c r="D42" s="389" t="s">
        <v>268</v>
      </c>
    </row>
    <row r="43" spans="1:23" ht="14.25" thickTop="1" thickBot="1" x14ac:dyDescent="0.3">
      <c r="B43" s="186" t="s">
        <v>136</v>
      </c>
      <c r="C43" s="187" t="s">
        <v>1</v>
      </c>
      <c r="D43" s="192">
        <f>IF($D$7="Goteo",(ROUNDUP(($D$38/$D$28)/160,0))*(ROUNDUP($D$37/160,0)),(ROUNDUP(($D$38/$D$28)/160,0))*(ROUNDUP($D$37/100,0)))</f>
        <v>3</v>
      </c>
    </row>
    <row r="44" spans="1:23" ht="14.25" thickTop="1" thickBot="1" x14ac:dyDescent="0.3">
      <c r="B44" s="186" t="s">
        <v>137</v>
      </c>
      <c r="C44" s="187" t="s">
        <v>1</v>
      </c>
      <c r="D44" s="192" t="str">
        <f>+IF(D52&lt;1.5,"1¨",(IF(AND(D52&gt;1.5,D52&lt;2.5),"1,5¨","2¨")))</f>
        <v>1¨</v>
      </c>
    </row>
    <row r="45" spans="1:23" ht="14.25" thickTop="1" thickBot="1" x14ac:dyDescent="0.3">
      <c r="A45" s="1"/>
      <c r="B45" s="11"/>
      <c r="C45" s="11"/>
      <c r="E45" s="34"/>
      <c r="F45" s="34"/>
      <c r="H45" s="24"/>
      <c r="I45" s="376"/>
      <c r="J45" s="376"/>
      <c r="K45" s="376"/>
      <c r="L45" s="6"/>
      <c r="M45" s="6"/>
      <c r="N45" s="2"/>
      <c r="O45" s="2"/>
      <c r="P45" s="2"/>
      <c r="Q45" s="2"/>
      <c r="R45" s="2"/>
      <c r="S45" s="2"/>
      <c r="T45" s="2"/>
      <c r="U45" s="2"/>
    </row>
    <row r="46" spans="1:23" ht="14.25" thickTop="1" thickBot="1" x14ac:dyDescent="0.3">
      <c r="A46" s="1"/>
      <c r="B46" s="374" t="s">
        <v>274</v>
      </c>
      <c r="C46" s="187" t="s">
        <v>1</v>
      </c>
      <c r="D46" s="375">
        <f>+$D$38*$D$62</f>
        <v>300</v>
      </c>
      <c r="E46" s="34"/>
      <c r="F46" s="34"/>
      <c r="H46" s="24"/>
      <c r="I46" s="376"/>
      <c r="J46" s="376"/>
      <c r="K46" s="376"/>
      <c r="L46" s="6"/>
      <c r="M46" s="6"/>
      <c r="N46" s="2"/>
      <c r="O46" s="2"/>
      <c r="P46" s="2"/>
      <c r="Q46" s="2"/>
      <c r="R46" s="2"/>
      <c r="S46" s="2"/>
      <c r="T46" s="2"/>
      <c r="U46" s="2"/>
    </row>
    <row r="47" spans="1:23" ht="14.25" thickTop="1" thickBot="1" x14ac:dyDescent="0.3">
      <c r="A47" s="1"/>
      <c r="B47" s="374" t="s">
        <v>275</v>
      </c>
      <c r="C47" s="187" t="s">
        <v>1</v>
      </c>
      <c r="D47" s="381">
        <f>+IF($D$62=1,$D$39,($D$39+((D63)*(D62-1))+(($D$38/D28)*($D$28-1))*($D$62-1)))+IF($D$7="Cinta",$D$64,$E$64)</f>
        <v>551.66666666666674</v>
      </c>
      <c r="E47" s="34"/>
      <c r="F47" s="34"/>
      <c r="H47" s="24"/>
      <c r="I47" s="376"/>
      <c r="J47" s="376"/>
      <c r="K47" s="376"/>
      <c r="L47" s="6"/>
      <c r="M47" s="6"/>
      <c r="N47" s="2"/>
      <c r="O47" s="2"/>
      <c r="P47" s="2"/>
      <c r="Q47" s="2"/>
      <c r="R47" s="2"/>
      <c r="S47" s="2"/>
      <c r="T47" s="2"/>
      <c r="U47" s="2"/>
    </row>
    <row r="48" spans="1:23" ht="14.25" thickTop="1" thickBot="1" x14ac:dyDescent="0.3">
      <c r="A48" s="1"/>
      <c r="B48" s="374" t="s">
        <v>281</v>
      </c>
      <c r="C48" s="187" t="s">
        <v>1</v>
      </c>
      <c r="D48" s="381">
        <f>+$D$63</f>
        <v>80.666666666666671</v>
      </c>
      <c r="E48" s="34"/>
      <c r="F48" s="34"/>
      <c r="H48" s="24"/>
      <c r="I48" s="370"/>
      <c r="J48" s="370"/>
      <c r="K48" s="370"/>
      <c r="L48" s="6"/>
      <c r="M48" s="6"/>
      <c r="N48" s="2"/>
      <c r="O48" s="2"/>
      <c r="P48" s="2"/>
      <c r="Q48" s="2"/>
      <c r="R48" s="2"/>
      <c r="S48" s="2"/>
      <c r="T48" s="2"/>
      <c r="U48" s="2"/>
    </row>
    <row r="49" spans="1:21" ht="13.5" thickTop="1" x14ac:dyDescent="0.25">
      <c r="A49" s="1"/>
      <c r="B49" s="11"/>
      <c r="C49" s="11"/>
      <c r="E49" s="34"/>
      <c r="F49" s="34"/>
      <c r="H49" s="24"/>
      <c r="I49" s="370"/>
      <c r="J49" s="370"/>
      <c r="K49" s="370"/>
      <c r="L49" s="6"/>
      <c r="M49" s="6"/>
      <c r="N49" s="2"/>
      <c r="O49" s="2"/>
      <c r="P49" s="2"/>
      <c r="Q49" s="2"/>
      <c r="R49" s="2"/>
      <c r="S49" s="2"/>
      <c r="T49" s="2"/>
      <c r="U49" s="2"/>
    </row>
    <row r="50" spans="1:21" ht="13.5" thickBot="1" x14ac:dyDescent="0.3">
      <c r="A50" s="1"/>
      <c r="B50" s="35"/>
      <c r="C50" s="35"/>
      <c r="E50" s="36"/>
      <c r="F50" s="36"/>
      <c r="H50" s="24"/>
      <c r="I50" s="24"/>
      <c r="J50" s="24"/>
      <c r="K50" s="24"/>
      <c r="L50" s="24"/>
      <c r="M50" s="24"/>
      <c r="N50" s="2"/>
      <c r="O50" s="2"/>
      <c r="P50" s="2"/>
      <c r="Q50" s="2"/>
      <c r="R50" s="2"/>
      <c r="S50" s="2"/>
      <c r="T50" s="2"/>
      <c r="U50" s="2"/>
    </row>
    <row r="51" spans="1:21" ht="14.25" thickTop="1" thickBot="1" x14ac:dyDescent="0.3">
      <c r="A51" s="1"/>
      <c r="B51" s="339" t="s">
        <v>31</v>
      </c>
      <c r="C51" s="340" t="s">
        <v>1</v>
      </c>
      <c r="D51" s="341">
        <f>D30/D28</f>
        <v>0.22500000000000001</v>
      </c>
      <c r="E51" s="342" t="s">
        <v>6</v>
      </c>
      <c r="F51" s="268"/>
      <c r="H51" s="3"/>
      <c r="I51" s="3"/>
      <c r="J51" s="3"/>
      <c r="K51" s="457" t="str">
        <f>+IF(D52&lt;=4.5,"Es posible la estimación","No es posible la estimación")</f>
        <v>Es posible la estimación</v>
      </c>
      <c r="L51" s="457"/>
      <c r="M51" s="457"/>
      <c r="N51" s="457"/>
      <c r="O51" s="2"/>
      <c r="P51" s="2"/>
      <c r="Q51" s="2"/>
      <c r="R51" s="2"/>
      <c r="S51" s="2"/>
      <c r="T51" s="2"/>
      <c r="U51" s="2"/>
    </row>
    <row r="52" spans="1:21" ht="14.25" thickTop="1" thickBot="1" x14ac:dyDescent="0.3">
      <c r="A52" s="1"/>
      <c r="B52" s="339" t="s">
        <v>32</v>
      </c>
      <c r="C52" s="340" t="s">
        <v>1</v>
      </c>
      <c r="D52" s="343">
        <f>IF(D27*D51&lt;=D3,D27*D51,"Aumentar N° sectores")</f>
        <v>1.0999999999999999</v>
      </c>
      <c r="E52" s="344" t="s">
        <v>25</v>
      </c>
      <c r="F52" s="269"/>
      <c r="H52" s="37"/>
      <c r="I52" s="3"/>
      <c r="J52" s="3"/>
      <c r="K52" s="457"/>
      <c r="L52" s="457"/>
      <c r="M52" s="457"/>
      <c r="N52" s="457"/>
      <c r="O52" s="2"/>
      <c r="P52" s="2"/>
      <c r="Q52" s="2"/>
      <c r="R52" s="2"/>
      <c r="S52" s="2"/>
      <c r="T52" s="2"/>
      <c r="U52" s="2"/>
    </row>
    <row r="53" spans="1:21" ht="14.25" thickTop="1" thickBot="1" x14ac:dyDescent="0.3">
      <c r="A53" s="1"/>
      <c r="B53" s="340" t="s">
        <v>33</v>
      </c>
      <c r="C53" s="340" t="s">
        <v>1</v>
      </c>
      <c r="D53" s="345">
        <f>ROUND(100/D13*100*1.02*D30*D23,0)</f>
        <v>3672</v>
      </c>
      <c r="E53" s="346" t="s">
        <v>3</v>
      </c>
      <c r="F53" s="53"/>
      <c r="H53" s="38"/>
      <c r="I53" s="3"/>
      <c r="J53" s="3"/>
      <c r="K53" s="457"/>
      <c r="L53" s="457"/>
      <c r="M53" s="457"/>
      <c r="N53" s="457"/>
      <c r="O53" s="2"/>
      <c r="P53" s="2"/>
      <c r="Q53" s="2"/>
      <c r="R53" s="2"/>
      <c r="S53" s="2"/>
      <c r="T53" s="2"/>
      <c r="U53" s="2"/>
    </row>
    <row r="54" spans="1:21" ht="14.25" thickTop="1" thickBot="1" x14ac:dyDescent="0.3">
      <c r="A54" s="1"/>
      <c r="B54" s="340" t="s">
        <v>34</v>
      </c>
      <c r="C54" s="340" t="s">
        <v>1</v>
      </c>
      <c r="D54" s="345">
        <f>ROUND(D53/D25,0)</f>
        <v>7344</v>
      </c>
      <c r="E54" s="346" t="s">
        <v>85</v>
      </c>
      <c r="F54" s="53"/>
      <c r="H54" s="38"/>
      <c r="I54" s="3"/>
      <c r="J54" s="3"/>
      <c r="K54" s="457"/>
      <c r="L54" s="457"/>
      <c r="M54" s="457"/>
      <c r="N54" s="457"/>
      <c r="O54" s="2"/>
      <c r="P54" s="2"/>
      <c r="Q54" s="2"/>
      <c r="R54" s="2"/>
      <c r="S54" s="2"/>
      <c r="T54" s="2"/>
      <c r="U54" s="2"/>
    </row>
    <row r="55" spans="1:21" ht="15" thickTop="1" thickBot="1" x14ac:dyDescent="0.3">
      <c r="B55" s="347" t="s">
        <v>35</v>
      </c>
      <c r="C55" s="348" t="s">
        <v>1</v>
      </c>
      <c r="D55" s="349">
        <f>(D21*1.15*1.15+$D$47*0.02+3+5+D40)*1.05</f>
        <v>32.821249999999999</v>
      </c>
      <c r="E55" s="350" t="s">
        <v>17</v>
      </c>
      <c r="K55" s="457"/>
      <c r="L55" s="457"/>
      <c r="M55" s="457"/>
      <c r="N55" s="457"/>
    </row>
    <row r="56" spans="1:21" ht="15" thickTop="1" thickBot="1" x14ac:dyDescent="0.3">
      <c r="B56" s="347" t="s">
        <v>216</v>
      </c>
      <c r="C56" s="348" t="s">
        <v>1</v>
      </c>
      <c r="D56" s="351">
        <f>(1.1*D52*60*D55*100/4500/65)</f>
        <v>0.81464025641025639</v>
      </c>
      <c r="E56" s="350" t="s">
        <v>219</v>
      </c>
      <c r="K56" s="457"/>
      <c r="L56" s="457"/>
      <c r="M56" s="457"/>
      <c r="N56" s="457"/>
    </row>
    <row r="57" spans="1:21" ht="15" thickTop="1" thickBot="1" x14ac:dyDescent="0.3">
      <c r="B57" s="347" t="s">
        <v>36</v>
      </c>
      <c r="C57" s="348" t="s">
        <v>1</v>
      </c>
      <c r="D57" s="394">
        <v>3</v>
      </c>
      <c r="E57" s="350" t="s">
        <v>219</v>
      </c>
    </row>
    <row r="58" spans="1:21" ht="13.5" thickTop="1" x14ac:dyDescent="0.25"/>
    <row r="60" spans="1:21" hidden="1" x14ac:dyDescent="0.25"/>
    <row r="61" spans="1:21" hidden="1" x14ac:dyDescent="0.25">
      <c r="D61" s="273">
        <f>+IF(D42="Extremo",D52,D52/2)</f>
        <v>1.0999999999999999</v>
      </c>
    </row>
    <row r="62" spans="1:21" hidden="1" x14ac:dyDescent="0.25">
      <c r="D62" s="272">
        <f>IF($D$7="Goteo",ROUNDUP($D$37/160,0),ROUNDUP($D$37/100,0))</f>
        <v>3</v>
      </c>
    </row>
    <row r="63" spans="1:21" hidden="1" x14ac:dyDescent="0.25">
      <c r="D63" s="443">
        <f>+$D$37/$D$62</f>
        <v>80.666666666666671</v>
      </c>
      <c r="E63" s="444"/>
    </row>
    <row r="64" spans="1:21" hidden="1" x14ac:dyDescent="0.25">
      <c r="D64" s="443">
        <f>+IF($D$63&gt;50,$D$63/2,0)</f>
        <v>40.333333333333336</v>
      </c>
      <c r="E64" s="443">
        <f>+IF($D$63&gt;80,$D$63/2,0)</f>
        <v>40.333333333333336</v>
      </c>
    </row>
    <row r="65" spans="11:22" hidden="1" x14ac:dyDescent="0.25"/>
    <row r="66" spans="11:22" hidden="1" x14ac:dyDescent="0.25"/>
    <row r="67" spans="11:22" hidden="1" x14ac:dyDescent="0.25"/>
    <row r="68" spans="11:22" hidden="1" x14ac:dyDescent="0.25">
      <c r="K68" s="1">
        <f>IF(ETP!D8&gt;0,ETP!D7/ETP!D8,0)</f>
        <v>5.9</v>
      </c>
      <c r="L68" s="1">
        <f>IF(ETP!E8&gt;0,ETP!E7/ETP!E8,0)</f>
        <v>5.1817241379310346</v>
      </c>
      <c r="M68" s="1">
        <f>IF(ETP!F8&gt;0,ETP!F7/ETP!F8,0)</f>
        <v>4.3000000000000007</v>
      </c>
      <c r="N68" s="1">
        <f>IF(ETP!G8&gt;0,ETP!G7/ETP!G8,0)</f>
        <v>3.1</v>
      </c>
      <c r="O68" s="1">
        <f>IF(ETP!H8&gt;0,ETP!H7/ETP!H8,0)</f>
        <v>0</v>
      </c>
      <c r="P68" s="1">
        <f>IF(ETP!I8&gt;0,ETP!I7/ETP!I8,0)</f>
        <v>0</v>
      </c>
      <c r="Q68" s="1">
        <f>IF(ETP!J8&gt;0,ETP!J7/ETP!J8,0)</f>
        <v>0</v>
      </c>
      <c r="R68" s="1">
        <f>IF(ETP!K8&gt;0,ETP!K7/ETP!K8,0)</f>
        <v>0</v>
      </c>
      <c r="S68" s="1">
        <f>IF(ETP!L8&gt;0,ETP!L7/ETP!L8,0)</f>
        <v>2.8</v>
      </c>
      <c r="T68" s="1">
        <f>IF(ETP!M8&gt;0,ETP!M7/ETP!M8,0)</f>
        <v>3.9000000000000004</v>
      </c>
      <c r="U68" s="1">
        <f>IF(ETP!N8&gt;0,ETP!N7/ETP!N8,0)</f>
        <v>5</v>
      </c>
      <c r="V68" s="1">
        <f>IF(ETP!O8&gt;0,ETP!O7/ETP!O8,0)</f>
        <v>5.8000000000000007</v>
      </c>
    </row>
    <row r="69" spans="11:22" hidden="1" x14ac:dyDescent="0.25">
      <c r="K69" s="1">
        <f>+K68*$D$16/($D$19/100)</f>
        <v>5.9</v>
      </c>
      <c r="L69" s="1">
        <f t="shared" ref="L69:V69" si="0">+L68*$D$16/($D$19/100)</f>
        <v>5.1817241379310346</v>
      </c>
      <c r="M69" s="1">
        <f t="shared" si="0"/>
        <v>4.3000000000000007</v>
      </c>
      <c r="N69" s="1">
        <f t="shared" si="0"/>
        <v>3.1</v>
      </c>
      <c r="O69" s="1">
        <f t="shared" si="0"/>
        <v>0</v>
      </c>
      <c r="P69" s="1">
        <f t="shared" si="0"/>
        <v>0</v>
      </c>
      <c r="Q69" s="1">
        <f t="shared" si="0"/>
        <v>0</v>
      </c>
      <c r="R69" s="1">
        <f t="shared" si="0"/>
        <v>0</v>
      </c>
      <c r="S69" s="1">
        <f t="shared" si="0"/>
        <v>2.8</v>
      </c>
      <c r="T69" s="1">
        <f t="shared" si="0"/>
        <v>3.9000000000000004</v>
      </c>
      <c r="U69" s="1">
        <f t="shared" si="0"/>
        <v>5</v>
      </c>
      <c r="V69" s="1">
        <f t="shared" si="0"/>
        <v>5.8000000000000007</v>
      </c>
    </row>
    <row r="70" spans="11:22" hidden="1" x14ac:dyDescent="0.25">
      <c r="K70" s="1">
        <f>$D$28*K69/$D$33</f>
        <v>13.40909090909091</v>
      </c>
      <c r="L70" s="1">
        <f t="shared" ref="L70:O70" si="1">$D$28*L69/$D$33</f>
        <v>11.776645768025078</v>
      </c>
      <c r="M70" s="1">
        <f t="shared" si="1"/>
        <v>9.7727272727272751</v>
      </c>
      <c r="N70" s="1">
        <f t="shared" si="1"/>
        <v>7.0454545454545459</v>
      </c>
      <c r="O70" s="1">
        <f t="shared" si="1"/>
        <v>0</v>
      </c>
      <c r="P70" s="1">
        <f t="shared" ref="P70" si="2">$D$28*P69/$D$33</f>
        <v>0</v>
      </c>
      <c r="Q70" s="1">
        <f t="shared" ref="Q70" si="3">$D$28*Q69/$D$33</f>
        <v>0</v>
      </c>
      <c r="R70" s="1">
        <f t="shared" ref="R70:S70" si="4">$D$28*R69/$D$33</f>
        <v>0</v>
      </c>
      <c r="S70" s="1">
        <f t="shared" si="4"/>
        <v>6.3636363636363633</v>
      </c>
      <c r="T70" s="1">
        <f t="shared" ref="T70" si="5">$D$28*T69/$D$33</f>
        <v>8.8636363636363651</v>
      </c>
      <c r="U70" s="1">
        <f t="shared" ref="U70" si="6">$D$28*U69/$D$33</f>
        <v>11.363636363636363</v>
      </c>
      <c r="V70" s="1">
        <f t="shared" ref="V70" si="7">$D$28*V69/$D$33</f>
        <v>13.181818181818183</v>
      </c>
    </row>
    <row r="71" spans="11:22" hidden="1" x14ac:dyDescent="0.25">
      <c r="K71" s="1">
        <f>+K70*ETP!D8</f>
        <v>415.68181818181819</v>
      </c>
      <c r="L71" s="1">
        <f>+L70*ETP!E8</f>
        <v>341.52272727272725</v>
      </c>
      <c r="M71" s="1">
        <f>+M70*ETP!F8</f>
        <v>302.95454545454555</v>
      </c>
      <c r="N71" s="1">
        <f>+N70*ETP!G8</f>
        <v>211.36363636363637</v>
      </c>
      <c r="O71" s="1">
        <f>+O70*ETP!H8</f>
        <v>0</v>
      </c>
      <c r="P71" s="1">
        <f>+P70*ETP!I8</f>
        <v>0</v>
      </c>
      <c r="Q71" s="1">
        <f>+Q70*ETP!J8</f>
        <v>0</v>
      </c>
      <c r="R71" s="1">
        <f>+R70*ETP!K8</f>
        <v>0</v>
      </c>
      <c r="S71" s="1">
        <f>+S70*ETP!L8</f>
        <v>190.90909090909091</v>
      </c>
      <c r="T71" s="1">
        <f>+T70*ETP!M8</f>
        <v>274.77272727272731</v>
      </c>
      <c r="U71" s="1">
        <f>+U70*ETP!N8</f>
        <v>340.90909090909088</v>
      </c>
      <c r="V71" s="1">
        <f>+V70*ETP!O8</f>
        <v>408.63636363636368</v>
      </c>
    </row>
    <row r="72" spans="11:22" hidden="1" x14ac:dyDescent="0.25">
      <c r="K72" s="1">
        <f>+K71*3.6*$D$52</f>
        <v>1646.1</v>
      </c>
      <c r="L72" s="1">
        <f t="shared" ref="L72:V72" si="8">+L71*3.6*$D$52</f>
        <v>1352.4299999999998</v>
      </c>
      <c r="M72" s="1">
        <f t="shared" si="8"/>
        <v>1199.7000000000003</v>
      </c>
      <c r="N72" s="1">
        <f t="shared" si="8"/>
        <v>837</v>
      </c>
      <c r="O72" s="1">
        <f t="shared" si="8"/>
        <v>0</v>
      </c>
      <c r="P72" s="1">
        <f t="shared" si="8"/>
        <v>0</v>
      </c>
      <c r="Q72" s="1">
        <f t="shared" si="8"/>
        <v>0</v>
      </c>
      <c r="R72" s="1">
        <f t="shared" si="8"/>
        <v>0</v>
      </c>
      <c r="S72" s="1">
        <f t="shared" si="8"/>
        <v>755.99999999999989</v>
      </c>
      <c r="T72" s="1">
        <f t="shared" si="8"/>
        <v>1088.1000000000001</v>
      </c>
      <c r="U72" s="1">
        <f t="shared" si="8"/>
        <v>1349.9999999999998</v>
      </c>
      <c r="V72" s="1">
        <f t="shared" si="8"/>
        <v>1618.2</v>
      </c>
    </row>
    <row r="73" spans="11:22" hidden="1" x14ac:dyDescent="0.25">
      <c r="K73" s="272">
        <f>SUM(K72:V72)</f>
        <v>9847.5300000000007</v>
      </c>
    </row>
    <row r="74" spans="11:22" hidden="1" x14ac:dyDescent="0.25"/>
    <row r="75" spans="11:22" hidden="1" x14ac:dyDescent="0.25"/>
    <row r="76" spans="11:22" hidden="1" x14ac:dyDescent="0.25"/>
  </sheetData>
  <sheetProtection password="D4A7" sheet="1" objects="1" scenarios="1"/>
  <mergeCells count="16">
    <mergeCell ref="K51:N56"/>
    <mergeCell ref="N14:O14"/>
    <mergeCell ref="N19:O19"/>
    <mergeCell ref="N15:O18"/>
    <mergeCell ref="G19:H19"/>
    <mergeCell ref="G20:H20"/>
    <mergeCell ref="K20:L20"/>
    <mergeCell ref="K21:L23"/>
    <mergeCell ref="N20:O20"/>
    <mergeCell ref="N21:O23"/>
    <mergeCell ref="B10:D10"/>
    <mergeCell ref="D12:E12"/>
    <mergeCell ref="D20:E20"/>
    <mergeCell ref="K15:L18"/>
    <mergeCell ref="K14:L14"/>
    <mergeCell ref="G9:I10"/>
  </mergeCells>
  <dataValidations disablePrompts="1" count="2">
    <dataValidation type="list" allowBlank="1" showInputMessage="1" showErrorMessage="1" sqref="D42" xr:uid="{00000000-0002-0000-0100-000000000000}">
      <formula1>"Centro,Extremo"</formula1>
    </dataValidation>
    <dataValidation type="list" allowBlank="1" showInputMessage="1" showErrorMessage="1" sqref="D7" xr:uid="{00000000-0002-0000-0100-000001000000}">
      <formula1>"Goteo, Cinta"</formula1>
    </dataValidation>
  </dataValidations>
  <pageMargins left="0.94488188976377963" right="0.15748031496062992" top="1.0629921259842521" bottom="0.98425196850393704" header="0.51181102362204722" footer="1.1023622047244095"/>
  <pageSetup orientation="portrait" r:id="rId1"/>
  <headerFooter alignWithMargins="0">
    <oddHeader>&amp;L&amp;G&amp;R&amp;D</oddHeader>
    <oddFooter>&amp;CFono/fax: (56-2) 2275629  /  (09) 9 2766845rafriego@rafriego.cl  -  www.rafriego.cl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B1:P39"/>
  <sheetViews>
    <sheetView zoomScale="90" zoomScaleNormal="90" workbookViewId="0">
      <selection activeCell="O16" sqref="O16"/>
    </sheetView>
  </sheetViews>
  <sheetFormatPr baseColWidth="10" defaultRowHeight="12.75" x14ac:dyDescent="0.2"/>
  <cols>
    <col min="1" max="1" width="9" style="62" customWidth="1"/>
    <col min="2" max="2" width="7.5703125" style="62" customWidth="1"/>
    <col min="3" max="3" width="26" style="62" customWidth="1"/>
    <col min="4" max="4" width="4.42578125" style="62" bestFit="1" customWidth="1"/>
    <col min="5" max="5" width="2" style="62" customWidth="1"/>
    <col min="6" max="6" width="3.42578125" style="62" bestFit="1" customWidth="1"/>
    <col min="7" max="7" width="8.85546875" style="62" bestFit="1" customWidth="1"/>
    <col min="8" max="8" width="10.5703125" style="62" customWidth="1"/>
    <col min="9" max="9" width="10.7109375" style="62" hidden="1" customWidth="1"/>
    <col min="10" max="10" width="7.140625" style="62" customWidth="1"/>
    <col min="11" max="11" width="7.7109375" style="62" bestFit="1" customWidth="1"/>
    <col min="12" max="12" width="11.42578125" style="62"/>
    <col min="13" max="13" width="5.5703125" style="62" customWidth="1"/>
    <col min="14" max="16" width="11.42578125" style="62"/>
    <col min="17" max="17" width="8.140625" style="62" bestFit="1" customWidth="1"/>
    <col min="18" max="16384" width="11.42578125" style="62"/>
  </cols>
  <sheetData>
    <row r="1" spans="2:16" s="1" customFormat="1" ht="13.5" thickBot="1" x14ac:dyDescent="0.3"/>
    <row r="2" spans="2:16" s="1" customFormat="1" ht="13.5" thickTop="1" x14ac:dyDescent="0.25">
      <c r="B2" s="461" t="s">
        <v>37</v>
      </c>
      <c r="C2" s="462"/>
      <c r="D2" s="462"/>
      <c r="E2" s="462"/>
      <c r="F2" s="462"/>
      <c r="G2" s="462"/>
      <c r="H2" s="462"/>
      <c r="I2" s="462"/>
      <c r="J2" s="462"/>
      <c r="K2" s="463"/>
    </row>
    <row r="3" spans="2:16" s="1" customFormat="1" x14ac:dyDescent="0.25">
      <c r="B3" s="39"/>
      <c r="C3" s="2"/>
      <c r="D3" s="2"/>
      <c r="E3" s="2"/>
      <c r="F3" s="2"/>
      <c r="G3" s="2"/>
      <c r="H3" s="2"/>
      <c r="I3" s="2"/>
      <c r="J3" s="2"/>
      <c r="K3" s="40"/>
    </row>
    <row r="4" spans="2:16" s="1" customFormat="1" x14ac:dyDescent="0.25">
      <c r="B4" s="41" t="s">
        <v>38</v>
      </c>
      <c r="C4" s="42" t="s">
        <v>39</v>
      </c>
      <c r="D4" s="464" t="s">
        <v>40</v>
      </c>
      <c r="E4" s="464"/>
      <c r="F4" s="464"/>
      <c r="G4" s="42" t="s">
        <v>5</v>
      </c>
      <c r="H4" s="43" t="s">
        <v>41</v>
      </c>
      <c r="I4" s="42" t="s">
        <v>42</v>
      </c>
      <c r="J4" s="42" t="s">
        <v>43</v>
      </c>
      <c r="K4" s="44" t="s">
        <v>44</v>
      </c>
    </row>
    <row r="5" spans="2:16" s="1" customFormat="1" ht="13.5" thickBot="1" x14ac:dyDescent="0.3">
      <c r="B5" s="45"/>
      <c r="C5" s="46"/>
      <c r="D5" s="465" t="s">
        <v>45</v>
      </c>
      <c r="E5" s="465"/>
      <c r="F5" s="465"/>
      <c r="G5" s="47" t="s">
        <v>46</v>
      </c>
      <c r="H5" s="47" t="s">
        <v>47</v>
      </c>
      <c r="I5" s="47" t="s">
        <v>48</v>
      </c>
      <c r="J5" s="47" t="s">
        <v>49</v>
      </c>
      <c r="K5" s="48" t="s">
        <v>50</v>
      </c>
    </row>
    <row r="6" spans="2:16" s="1" customFormat="1" ht="13.5" thickTop="1" x14ac:dyDescent="0.25">
      <c r="B6" s="49"/>
      <c r="C6" s="3"/>
      <c r="D6" s="3"/>
      <c r="E6" s="3"/>
      <c r="F6" s="3"/>
      <c r="G6" s="3"/>
      <c r="H6" s="3"/>
      <c r="I6" s="3"/>
      <c r="J6" s="3"/>
      <c r="K6" s="12"/>
    </row>
    <row r="7" spans="2:16" s="1" customFormat="1" x14ac:dyDescent="0.25">
      <c r="B7" s="50">
        <v>1</v>
      </c>
      <c r="C7" s="3" t="str">
        <f>+IF(G7&gt;0,'Diseño goteo-cinta'!$D$12,"Ocultar celda")</f>
        <v>Naranjos</v>
      </c>
      <c r="D7" s="51">
        <f>+'Diseño goteo-cinta'!$D$13</f>
        <v>5</v>
      </c>
      <c r="E7" s="3" t="s">
        <v>51</v>
      </c>
      <c r="F7" s="52">
        <f>+'Diseño goteo-cinta'!$D$14</f>
        <v>2</v>
      </c>
      <c r="G7" s="395">
        <f>+IF('Diseño goteo-cinta'!$D$28&gt;='SECTOR goteo-cinta '!B7,('Diseño goteo-cinta'!$D$30/'Diseño goteo-cinta'!$D$28),0)</f>
        <v>0.22500000000000001</v>
      </c>
      <c r="H7" s="53">
        <f t="shared" ref="H7:H36" si="0">ROUND(G7*(10000/(D7*F7)),0)</f>
        <v>225</v>
      </c>
      <c r="I7" s="54"/>
      <c r="J7" s="256">
        <f>+'Diseño goteo-cinta'!$D$27*'SECTOR goteo-cinta '!$G$7</f>
        <v>1.0999999999999999</v>
      </c>
      <c r="K7" s="55">
        <f>+'Diseño goteo-cinta'!$D$34</f>
        <v>3.3522727272727275</v>
      </c>
      <c r="L7" s="56"/>
    </row>
    <row r="8" spans="2:16" s="1" customFormat="1" x14ac:dyDescent="0.25">
      <c r="B8" s="50">
        <f t="shared" ref="B8:B36" si="1">B7+1</f>
        <v>2</v>
      </c>
      <c r="C8" s="3" t="str">
        <f>+IF(G8&gt;0,'Diseño goteo-cinta'!$D$12,"Ocultar celda")</f>
        <v>Naranjos</v>
      </c>
      <c r="D8" s="51">
        <f>+'Diseño goteo-cinta'!$D$13</f>
        <v>5</v>
      </c>
      <c r="E8" s="3" t="s">
        <v>51</v>
      </c>
      <c r="F8" s="52">
        <f>+'Diseño goteo-cinta'!$D$14</f>
        <v>2</v>
      </c>
      <c r="G8" s="395">
        <f>+IF('Diseño goteo-cinta'!$D$28&gt;='SECTOR goteo-cinta '!B8,('Diseño goteo-cinta'!$D$30/'Diseño goteo-cinta'!$D$28),0)</f>
        <v>0.22500000000000001</v>
      </c>
      <c r="H8" s="53">
        <f t="shared" si="0"/>
        <v>225</v>
      </c>
      <c r="I8" s="54"/>
      <c r="J8" s="256">
        <f>+'Diseño goteo-cinta'!$D$27*'SECTOR goteo-cinta '!$G$7</f>
        <v>1.0999999999999999</v>
      </c>
      <c r="K8" s="55">
        <f>+'Diseño goteo-cinta'!$D$34</f>
        <v>3.3522727272727275</v>
      </c>
      <c r="L8" s="56"/>
    </row>
    <row r="9" spans="2:16" s="1" customFormat="1" x14ac:dyDescent="0.25">
      <c r="B9" s="50">
        <f t="shared" si="1"/>
        <v>3</v>
      </c>
      <c r="C9" s="3" t="str">
        <f>+IF(G9&gt;0,'Diseño goteo-cinta'!$D$12,"Ocultar celda")</f>
        <v>Naranjos</v>
      </c>
      <c r="D9" s="51">
        <f>+'Diseño goteo-cinta'!$D$13</f>
        <v>5</v>
      </c>
      <c r="E9" s="3" t="s">
        <v>51</v>
      </c>
      <c r="F9" s="52">
        <f>+'Diseño goteo-cinta'!$D$14</f>
        <v>2</v>
      </c>
      <c r="G9" s="395">
        <f>+IF('Diseño goteo-cinta'!$D$28&gt;='SECTOR goteo-cinta '!B9,('Diseño goteo-cinta'!$D$30/'Diseño goteo-cinta'!$D$28),0)</f>
        <v>0.22500000000000001</v>
      </c>
      <c r="H9" s="53">
        <f t="shared" si="0"/>
        <v>225</v>
      </c>
      <c r="I9" s="54"/>
      <c r="J9" s="256">
        <f>+'Diseño goteo-cinta'!$D$27*'SECTOR goteo-cinta '!$G$7</f>
        <v>1.0999999999999999</v>
      </c>
      <c r="K9" s="55">
        <f>+'Diseño goteo-cinta'!$D$34</f>
        <v>3.3522727272727275</v>
      </c>
      <c r="L9" s="56"/>
      <c r="N9" s="466"/>
      <c r="O9" s="466"/>
      <c r="P9" s="466"/>
    </row>
    <row r="10" spans="2:16" s="1" customFormat="1" x14ac:dyDescent="0.25">
      <c r="B10" s="50">
        <f t="shared" si="1"/>
        <v>4</v>
      </c>
      <c r="C10" s="3" t="str">
        <f>+IF(G10&gt;0,'Diseño goteo-cinta'!$D$12,"Ocultar celda")</f>
        <v>Naranjos</v>
      </c>
      <c r="D10" s="51">
        <f>+'Diseño goteo-cinta'!$D$13</f>
        <v>5</v>
      </c>
      <c r="E10" s="3" t="s">
        <v>51</v>
      </c>
      <c r="F10" s="52">
        <f>+'Diseño goteo-cinta'!$D$14</f>
        <v>2</v>
      </c>
      <c r="G10" s="395">
        <f>+IF('Diseño goteo-cinta'!$D$28&gt;='SECTOR goteo-cinta '!B10,('Diseño goteo-cinta'!$D$30/'Diseño goteo-cinta'!$D$28),0)</f>
        <v>0.22500000000000001</v>
      </c>
      <c r="H10" s="53">
        <f t="shared" si="0"/>
        <v>225</v>
      </c>
      <c r="I10" s="54"/>
      <c r="J10" s="256">
        <f>+'Diseño goteo-cinta'!$D$27*'SECTOR goteo-cinta '!$G$7</f>
        <v>1.0999999999999999</v>
      </c>
      <c r="K10" s="55">
        <f>+'Diseño goteo-cinta'!$D$34</f>
        <v>3.3522727272727275</v>
      </c>
      <c r="L10" s="56"/>
      <c r="N10" s="56"/>
      <c r="O10" s="56"/>
      <c r="P10" s="56"/>
    </row>
    <row r="11" spans="2:16" s="1" customFormat="1" x14ac:dyDescent="0.25">
      <c r="B11" s="50">
        <f t="shared" si="1"/>
        <v>5</v>
      </c>
      <c r="C11" s="3" t="str">
        <f>+IF(G11&gt;0,'Diseño goteo-cinta'!$D$12,"Ocultar celda")</f>
        <v>Ocultar celda</v>
      </c>
      <c r="D11" s="51">
        <f>+'Diseño goteo-cinta'!$D$13</f>
        <v>5</v>
      </c>
      <c r="E11" s="3" t="s">
        <v>51</v>
      </c>
      <c r="F11" s="52">
        <f>+'Diseño goteo-cinta'!$D$14</f>
        <v>2</v>
      </c>
      <c r="G11" s="395">
        <f>+IF('Diseño goteo-cinta'!$D$28&gt;='SECTOR goteo-cinta '!B11,('Diseño goteo-cinta'!$D$30/'Diseño goteo-cinta'!$D$28),0)</f>
        <v>0</v>
      </c>
      <c r="H11" s="53">
        <f t="shared" si="0"/>
        <v>0</v>
      </c>
      <c r="I11" s="54"/>
      <c r="J11" s="256">
        <f>+'Diseño goteo-cinta'!$D$27*'SECTOR goteo-cinta '!$G$7</f>
        <v>1.0999999999999999</v>
      </c>
      <c r="K11" s="55">
        <f>+'Diseño goteo-cinta'!$D$34</f>
        <v>3.3522727272727275</v>
      </c>
      <c r="L11" s="56"/>
    </row>
    <row r="12" spans="2:16" s="1" customFormat="1" x14ac:dyDescent="0.25">
      <c r="B12" s="50">
        <f t="shared" si="1"/>
        <v>6</v>
      </c>
      <c r="C12" s="3" t="str">
        <f>+IF(G12&gt;0,'Diseño goteo-cinta'!$D$12,"Ocultar celda")</f>
        <v>Ocultar celda</v>
      </c>
      <c r="D12" s="51">
        <f>+'Diseño goteo-cinta'!$D$13</f>
        <v>5</v>
      </c>
      <c r="E12" s="3" t="s">
        <v>51</v>
      </c>
      <c r="F12" s="52">
        <f>+'Diseño goteo-cinta'!$D$14</f>
        <v>2</v>
      </c>
      <c r="G12" s="395">
        <f>+IF('Diseño goteo-cinta'!$D$28&gt;='SECTOR goteo-cinta '!B12,('Diseño goteo-cinta'!$D$30/'Diseño goteo-cinta'!$D$28),0)</f>
        <v>0</v>
      </c>
      <c r="H12" s="53">
        <f t="shared" si="0"/>
        <v>0</v>
      </c>
      <c r="I12" s="54"/>
      <c r="J12" s="256">
        <f>+'Diseño goteo-cinta'!$D$27*'SECTOR goteo-cinta '!$G$7</f>
        <v>1.0999999999999999</v>
      </c>
      <c r="K12" s="55">
        <f>+'Diseño goteo-cinta'!$D$34</f>
        <v>3.3522727272727275</v>
      </c>
    </row>
    <row r="13" spans="2:16" s="1" customFormat="1" x14ac:dyDescent="0.25">
      <c r="B13" s="50">
        <f t="shared" si="1"/>
        <v>7</v>
      </c>
      <c r="C13" s="3" t="str">
        <f>+IF(G13&gt;0,'Diseño goteo-cinta'!$D$12,"Ocultar celda")</f>
        <v>Ocultar celda</v>
      </c>
      <c r="D13" s="51">
        <f>+'Diseño goteo-cinta'!$D$13</f>
        <v>5</v>
      </c>
      <c r="E13" s="3" t="s">
        <v>51</v>
      </c>
      <c r="F13" s="52">
        <f>+'Diseño goteo-cinta'!$D$14</f>
        <v>2</v>
      </c>
      <c r="G13" s="395">
        <f>+IF('Diseño goteo-cinta'!$D$28&gt;='SECTOR goteo-cinta '!B13,('Diseño goteo-cinta'!$D$30/'Diseño goteo-cinta'!$D$28),0)</f>
        <v>0</v>
      </c>
      <c r="H13" s="53">
        <f t="shared" si="0"/>
        <v>0</v>
      </c>
      <c r="I13" s="54"/>
      <c r="J13" s="256">
        <f>+'Diseño goteo-cinta'!$D$27*'SECTOR goteo-cinta '!$G$7</f>
        <v>1.0999999999999999</v>
      </c>
      <c r="K13" s="55">
        <f>+'Diseño goteo-cinta'!$D$34</f>
        <v>3.3522727272727275</v>
      </c>
    </row>
    <row r="14" spans="2:16" s="1" customFormat="1" x14ac:dyDescent="0.25">
      <c r="B14" s="50">
        <f t="shared" si="1"/>
        <v>8</v>
      </c>
      <c r="C14" s="3" t="str">
        <f>+IF(G14&gt;0,'Diseño goteo-cinta'!$D$12,"Ocultar celda")</f>
        <v>Ocultar celda</v>
      </c>
      <c r="D14" s="51">
        <f>+'Diseño goteo-cinta'!$D$13</f>
        <v>5</v>
      </c>
      <c r="E14" s="3" t="s">
        <v>51</v>
      </c>
      <c r="F14" s="52">
        <f>+'Diseño goteo-cinta'!$D$14</f>
        <v>2</v>
      </c>
      <c r="G14" s="395">
        <f>+IF('Diseño goteo-cinta'!$D$28&gt;='SECTOR goteo-cinta '!B14,('Diseño goteo-cinta'!$D$30/'Diseño goteo-cinta'!$D$28),0)</f>
        <v>0</v>
      </c>
      <c r="H14" s="53">
        <f t="shared" si="0"/>
        <v>0</v>
      </c>
      <c r="I14" s="54"/>
      <c r="J14" s="256">
        <f>+'Diseño goteo-cinta'!$D$27*'SECTOR goteo-cinta '!$G$7</f>
        <v>1.0999999999999999</v>
      </c>
      <c r="K14" s="55">
        <f>+'Diseño goteo-cinta'!$D$34</f>
        <v>3.3522727272727275</v>
      </c>
    </row>
    <row r="15" spans="2:16" s="1" customFormat="1" x14ac:dyDescent="0.25">
      <c r="B15" s="50">
        <f t="shared" si="1"/>
        <v>9</v>
      </c>
      <c r="C15" s="3" t="str">
        <f>+IF(G15&gt;0,'Diseño goteo-cinta'!$D$12,"Ocultar celda")</f>
        <v>Ocultar celda</v>
      </c>
      <c r="D15" s="51">
        <f>+'Diseño goteo-cinta'!$D$13</f>
        <v>5</v>
      </c>
      <c r="E15" s="3" t="s">
        <v>51</v>
      </c>
      <c r="F15" s="52">
        <f>+'Diseño goteo-cinta'!$D$14</f>
        <v>2</v>
      </c>
      <c r="G15" s="395">
        <f>+IF('Diseño goteo-cinta'!$D$28&gt;='SECTOR goteo-cinta '!B15,('Diseño goteo-cinta'!$D$30/'Diseño goteo-cinta'!$D$28),0)</f>
        <v>0</v>
      </c>
      <c r="H15" s="53">
        <f t="shared" si="0"/>
        <v>0</v>
      </c>
      <c r="I15" s="54"/>
      <c r="J15" s="256">
        <f>+'Diseño goteo-cinta'!$D$27*'SECTOR goteo-cinta '!$G$7</f>
        <v>1.0999999999999999</v>
      </c>
      <c r="K15" s="55">
        <f>+'Diseño goteo-cinta'!$D$34</f>
        <v>3.3522727272727275</v>
      </c>
    </row>
    <row r="16" spans="2:16" s="1" customFormat="1" x14ac:dyDescent="0.25">
      <c r="B16" s="50">
        <f t="shared" si="1"/>
        <v>10</v>
      </c>
      <c r="C16" s="3" t="str">
        <f>+IF(G16&gt;0,'Diseño goteo-cinta'!$D$12,"Ocultar celda")</f>
        <v>Ocultar celda</v>
      </c>
      <c r="D16" s="51">
        <f>+'Diseño goteo-cinta'!$D$13</f>
        <v>5</v>
      </c>
      <c r="E16" s="3" t="s">
        <v>51</v>
      </c>
      <c r="F16" s="52">
        <f>+'Diseño goteo-cinta'!$D$14</f>
        <v>2</v>
      </c>
      <c r="G16" s="395">
        <f>+IF('Diseño goteo-cinta'!$D$28&gt;='SECTOR goteo-cinta '!B16,('Diseño goteo-cinta'!$D$30/'Diseño goteo-cinta'!$D$28),0)</f>
        <v>0</v>
      </c>
      <c r="H16" s="53">
        <f t="shared" si="0"/>
        <v>0</v>
      </c>
      <c r="I16" s="54"/>
      <c r="J16" s="256">
        <f>+'Diseño goteo-cinta'!$D$27*'SECTOR goteo-cinta '!$G$7</f>
        <v>1.0999999999999999</v>
      </c>
      <c r="K16" s="55">
        <f>+'Diseño goteo-cinta'!$D$34</f>
        <v>3.3522727272727275</v>
      </c>
    </row>
    <row r="17" spans="2:11" s="1" customFormat="1" x14ac:dyDescent="0.25">
      <c r="B17" s="50">
        <f t="shared" si="1"/>
        <v>11</v>
      </c>
      <c r="C17" s="3" t="str">
        <f>+IF(G17&gt;0,'Diseño goteo-cinta'!$D$12,"Ocultar celda")</f>
        <v>Ocultar celda</v>
      </c>
      <c r="D17" s="51">
        <f>+'Diseño goteo-cinta'!$D$13</f>
        <v>5</v>
      </c>
      <c r="E17" s="3" t="s">
        <v>51</v>
      </c>
      <c r="F17" s="52">
        <f>+'Diseño goteo-cinta'!$D$14</f>
        <v>2</v>
      </c>
      <c r="G17" s="395">
        <f>+IF('Diseño goteo-cinta'!$D$28&gt;='SECTOR goteo-cinta '!B17,('Diseño goteo-cinta'!$D$30/'Diseño goteo-cinta'!$D$28),0)</f>
        <v>0</v>
      </c>
      <c r="H17" s="53">
        <f t="shared" si="0"/>
        <v>0</v>
      </c>
      <c r="I17" s="54"/>
      <c r="J17" s="256">
        <f>+'Diseño goteo-cinta'!$D$27*'SECTOR goteo-cinta '!$G$7</f>
        <v>1.0999999999999999</v>
      </c>
      <c r="K17" s="55">
        <f>+'Diseño goteo-cinta'!$D$34</f>
        <v>3.3522727272727275</v>
      </c>
    </row>
    <row r="18" spans="2:11" s="1" customFormat="1" x14ac:dyDescent="0.25">
      <c r="B18" s="50">
        <f t="shared" si="1"/>
        <v>12</v>
      </c>
      <c r="C18" s="3" t="str">
        <f>+IF(G18&gt;0,'Diseño goteo-cinta'!$D$12,"Ocultar celda")</f>
        <v>Ocultar celda</v>
      </c>
      <c r="D18" s="51">
        <f>+'Diseño goteo-cinta'!$D$13</f>
        <v>5</v>
      </c>
      <c r="E18" s="3" t="s">
        <v>51</v>
      </c>
      <c r="F18" s="52">
        <f>+'Diseño goteo-cinta'!$D$14</f>
        <v>2</v>
      </c>
      <c r="G18" s="395">
        <f>+IF('Diseño goteo-cinta'!$D$28&gt;='SECTOR goteo-cinta '!B18,('Diseño goteo-cinta'!$D$30/'Diseño goteo-cinta'!$D$28),0)</f>
        <v>0</v>
      </c>
      <c r="H18" s="53">
        <f t="shared" si="0"/>
        <v>0</v>
      </c>
      <c r="I18" s="54"/>
      <c r="J18" s="256">
        <f>+'Diseño goteo-cinta'!$D$27*'SECTOR goteo-cinta '!$G$7</f>
        <v>1.0999999999999999</v>
      </c>
      <c r="K18" s="55">
        <f>+'Diseño goteo-cinta'!$D$34</f>
        <v>3.3522727272727275</v>
      </c>
    </row>
    <row r="19" spans="2:11" s="1" customFormat="1" x14ac:dyDescent="0.25">
      <c r="B19" s="50">
        <f t="shared" si="1"/>
        <v>13</v>
      </c>
      <c r="C19" s="3" t="str">
        <f>+IF(G19&gt;0,'Diseño goteo-cinta'!$D$12,"Ocultar celda")</f>
        <v>Ocultar celda</v>
      </c>
      <c r="D19" s="51">
        <f>+'Diseño goteo-cinta'!$D$13</f>
        <v>5</v>
      </c>
      <c r="E19" s="3" t="s">
        <v>51</v>
      </c>
      <c r="F19" s="52">
        <f>+'Diseño goteo-cinta'!$D$14</f>
        <v>2</v>
      </c>
      <c r="G19" s="395">
        <f>+IF('Diseño goteo-cinta'!$D$28&gt;='SECTOR goteo-cinta '!B19,('Diseño goteo-cinta'!$D$30/'Diseño goteo-cinta'!$D$28),0)</f>
        <v>0</v>
      </c>
      <c r="H19" s="53">
        <f t="shared" si="0"/>
        <v>0</v>
      </c>
      <c r="I19" s="54"/>
      <c r="J19" s="256">
        <f>+'Diseño goteo-cinta'!$D$27*'SECTOR goteo-cinta '!$G$7</f>
        <v>1.0999999999999999</v>
      </c>
      <c r="K19" s="55">
        <f>+'Diseño goteo-cinta'!$D$34</f>
        <v>3.3522727272727275</v>
      </c>
    </row>
    <row r="20" spans="2:11" s="1" customFormat="1" x14ac:dyDescent="0.25">
      <c r="B20" s="50">
        <f t="shared" si="1"/>
        <v>14</v>
      </c>
      <c r="C20" s="3" t="str">
        <f>+IF(G20&gt;0,'Diseño goteo-cinta'!$D$12,"Ocultar celda")</f>
        <v>Ocultar celda</v>
      </c>
      <c r="D20" s="51">
        <f>+'Diseño goteo-cinta'!$D$13</f>
        <v>5</v>
      </c>
      <c r="E20" s="3" t="s">
        <v>51</v>
      </c>
      <c r="F20" s="52">
        <f>+'Diseño goteo-cinta'!$D$14</f>
        <v>2</v>
      </c>
      <c r="G20" s="395">
        <f>+IF('Diseño goteo-cinta'!$D$28&gt;='SECTOR goteo-cinta '!B20,('Diseño goteo-cinta'!$D$30/'Diseño goteo-cinta'!$D$28),0)</f>
        <v>0</v>
      </c>
      <c r="H20" s="53">
        <f t="shared" si="0"/>
        <v>0</v>
      </c>
      <c r="I20" s="54"/>
      <c r="J20" s="256">
        <f>+'Diseño goteo-cinta'!$D$27*'SECTOR goteo-cinta '!$G$7</f>
        <v>1.0999999999999999</v>
      </c>
      <c r="K20" s="55">
        <f>+'Diseño goteo-cinta'!$D$34</f>
        <v>3.3522727272727275</v>
      </c>
    </row>
    <row r="21" spans="2:11" s="1" customFormat="1" x14ac:dyDescent="0.25">
      <c r="B21" s="50">
        <f t="shared" si="1"/>
        <v>15</v>
      </c>
      <c r="C21" s="3" t="str">
        <f>+IF(G21&gt;0,'Diseño goteo-cinta'!$D$12,"Ocultar celda")</f>
        <v>Ocultar celda</v>
      </c>
      <c r="D21" s="51">
        <f>+'Diseño goteo-cinta'!$D$13</f>
        <v>5</v>
      </c>
      <c r="E21" s="3" t="s">
        <v>51</v>
      </c>
      <c r="F21" s="52">
        <f>+'Diseño goteo-cinta'!$D$14</f>
        <v>2</v>
      </c>
      <c r="G21" s="395">
        <f>+IF('Diseño goteo-cinta'!$D$28&gt;='SECTOR goteo-cinta '!B21,('Diseño goteo-cinta'!$D$30/'Diseño goteo-cinta'!$D$28),0)</f>
        <v>0</v>
      </c>
      <c r="H21" s="53">
        <f t="shared" si="0"/>
        <v>0</v>
      </c>
      <c r="I21" s="54"/>
      <c r="J21" s="256">
        <f>+'Diseño goteo-cinta'!$D$27*'SECTOR goteo-cinta '!$G$7</f>
        <v>1.0999999999999999</v>
      </c>
      <c r="K21" s="55">
        <f>+'Diseño goteo-cinta'!$D$34</f>
        <v>3.3522727272727275</v>
      </c>
    </row>
    <row r="22" spans="2:11" s="1" customFormat="1" x14ac:dyDescent="0.25">
      <c r="B22" s="50">
        <f t="shared" si="1"/>
        <v>16</v>
      </c>
      <c r="C22" s="3" t="str">
        <f>+IF(G22&gt;0,'Diseño goteo-cinta'!$D$12,"Ocultar celda")</f>
        <v>Ocultar celda</v>
      </c>
      <c r="D22" s="51">
        <f>+'Diseño goteo-cinta'!$D$13</f>
        <v>5</v>
      </c>
      <c r="E22" s="3" t="s">
        <v>51</v>
      </c>
      <c r="F22" s="52">
        <f>+'Diseño goteo-cinta'!$D$14</f>
        <v>2</v>
      </c>
      <c r="G22" s="395">
        <f>+IF('Diseño goteo-cinta'!$D$28&gt;='SECTOR goteo-cinta '!B22,('Diseño goteo-cinta'!$D$30/'Diseño goteo-cinta'!$D$28),0)</f>
        <v>0</v>
      </c>
      <c r="H22" s="53">
        <f t="shared" si="0"/>
        <v>0</v>
      </c>
      <c r="I22" s="54"/>
      <c r="J22" s="256">
        <f>+'Diseño goteo-cinta'!$D$27*'SECTOR goteo-cinta '!$G$7</f>
        <v>1.0999999999999999</v>
      </c>
      <c r="K22" s="55">
        <f>+'Diseño goteo-cinta'!$D$34</f>
        <v>3.3522727272727275</v>
      </c>
    </row>
    <row r="23" spans="2:11" s="1" customFormat="1" x14ac:dyDescent="0.25">
      <c r="B23" s="50">
        <f t="shared" si="1"/>
        <v>17</v>
      </c>
      <c r="C23" s="3" t="str">
        <f>+IF(G23&gt;0,'Diseño goteo-cinta'!$D$12,"Ocultar celda")</f>
        <v>Ocultar celda</v>
      </c>
      <c r="D23" s="51">
        <f>+'Diseño goteo-cinta'!$D$13</f>
        <v>5</v>
      </c>
      <c r="E23" s="3" t="s">
        <v>51</v>
      </c>
      <c r="F23" s="52">
        <f>+'Diseño goteo-cinta'!$D$14</f>
        <v>2</v>
      </c>
      <c r="G23" s="395">
        <f>+IF('Diseño goteo-cinta'!$D$28&gt;='SECTOR goteo-cinta '!B23,('Diseño goteo-cinta'!$D$30/'Diseño goteo-cinta'!$D$28),0)</f>
        <v>0</v>
      </c>
      <c r="H23" s="53">
        <f t="shared" si="0"/>
        <v>0</v>
      </c>
      <c r="I23" s="54"/>
      <c r="J23" s="256">
        <f>+'Diseño goteo-cinta'!$D$27*'SECTOR goteo-cinta '!$G$7</f>
        <v>1.0999999999999999</v>
      </c>
      <c r="K23" s="55">
        <f>+'Diseño goteo-cinta'!$D$34</f>
        <v>3.3522727272727275</v>
      </c>
    </row>
    <row r="24" spans="2:11" s="1" customFormat="1" x14ac:dyDescent="0.25">
      <c r="B24" s="50">
        <f t="shared" si="1"/>
        <v>18</v>
      </c>
      <c r="C24" s="3" t="str">
        <f>+IF(G24&gt;0,'Diseño goteo-cinta'!$D$12,"Ocultar celda")</f>
        <v>Ocultar celda</v>
      </c>
      <c r="D24" s="51">
        <f>+'Diseño goteo-cinta'!$D$13</f>
        <v>5</v>
      </c>
      <c r="E24" s="3" t="s">
        <v>51</v>
      </c>
      <c r="F24" s="52">
        <f>+'Diseño goteo-cinta'!$D$14</f>
        <v>2</v>
      </c>
      <c r="G24" s="395">
        <f>+IF('Diseño goteo-cinta'!$D$28&gt;='SECTOR goteo-cinta '!B24,('Diseño goteo-cinta'!$D$30/'Diseño goteo-cinta'!$D$28),0)</f>
        <v>0</v>
      </c>
      <c r="H24" s="53">
        <f t="shared" si="0"/>
        <v>0</v>
      </c>
      <c r="I24" s="54"/>
      <c r="J24" s="256">
        <f>+'Diseño goteo-cinta'!$D$27*'SECTOR goteo-cinta '!$G$7</f>
        <v>1.0999999999999999</v>
      </c>
      <c r="K24" s="55">
        <f>+'Diseño goteo-cinta'!$D$34</f>
        <v>3.3522727272727275</v>
      </c>
    </row>
    <row r="25" spans="2:11" s="1" customFormat="1" x14ac:dyDescent="0.25">
      <c r="B25" s="50">
        <f t="shared" si="1"/>
        <v>19</v>
      </c>
      <c r="C25" s="3" t="str">
        <f>+IF(G25&gt;0,'Diseño goteo-cinta'!$D$12,"Ocultar celda")</f>
        <v>Ocultar celda</v>
      </c>
      <c r="D25" s="51">
        <f>+'Diseño goteo-cinta'!$D$13</f>
        <v>5</v>
      </c>
      <c r="E25" s="3" t="s">
        <v>51</v>
      </c>
      <c r="F25" s="52">
        <f>+'Diseño goteo-cinta'!$D$14</f>
        <v>2</v>
      </c>
      <c r="G25" s="395">
        <f>+IF('Diseño goteo-cinta'!$D$28&gt;='SECTOR goteo-cinta '!B25,('Diseño goteo-cinta'!$D$30/'Diseño goteo-cinta'!$D$28),0)</f>
        <v>0</v>
      </c>
      <c r="H25" s="53">
        <f t="shared" si="0"/>
        <v>0</v>
      </c>
      <c r="I25" s="54"/>
      <c r="J25" s="256">
        <f>+'Diseño goteo-cinta'!$D$27*'SECTOR goteo-cinta '!$G$7</f>
        <v>1.0999999999999999</v>
      </c>
      <c r="K25" s="55">
        <f>+'Diseño goteo-cinta'!$D$34</f>
        <v>3.3522727272727275</v>
      </c>
    </row>
    <row r="26" spans="2:11" s="1" customFormat="1" x14ac:dyDescent="0.25">
      <c r="B26" s="50">
        <f t="shared" si="1"/>
        <v>20</v>
      </c>
      <c r="C26" s="3" t="str">
        <f>+IF(G26&gt;0,'Diseño goteo-cinta'!$D$12,"Ocultar celda")</f>
        <v>Ocultar celda</v>
      </c>
      <c r="D26" s="51">
        <f>+'Diseño goteo-cinta'!$D$13</f>
        <v>5</v>
      </c>
      <c r="E26" s="3" t="s">
        <v>51</v>
      </c>
      <c r="F26" s="52">
        <f>+'Diseño goteo-cinta'!$D$14</f>
        <v>2</v>
      </c>
      <c r="G26" s="395">
        <f>+IF('Diseño goteo-cinta'!$D$28&gt;='SECTOR goteo-cinta '!B26,('Diseño goteo-cinta'!$D$30/'Diseño goteo-cinta'!$D$28),0)</f>
        <v>0</v>
      </c>
      <c r="H26" s="53">
        <f t="shared" si="0"/>
        <v>0</v>
      </c>
      <c r="I26" s="54"/>
      <c r="J26" s="256">
        <f>+'Diseño goteo-cinta'!$D$27*'SECTOR goteo-cinta '!$G$7</f>
        <v>1.0999999999999999</v>
      </c>
      <c r="K26" s="55">
        <f>+'Diseño goteo-cinta'!$D$34</f>
        <v>3.3522727272727275</v>
      </c>
    </row>
    <row r="27" spans="2:11" s="1" customFormat="1" x14ac:dyDescent="0.25">
      <c r="B27" s="50">
        <f t="shared" si="1"/>
        <v>21</v>
      </c>
      <c r="C27" s="3" t="str">
        <f>+IF(G27&gt;0,'Diseño goteo-cinta'!$D$12,"Ocultar celda")</f>
        <v>Ocultar celda</v>
      </c>
      <c r="D27" s="51">
        <f>+'Diseño goteo-cinta'!$D$13</f>
        <v>5</v>
      </c>
      <c r="E27" s="3" t="s">
        <v>51</v>
      </c>
      <c r="F27" s="52">
        <f>+'Diseño goteo-cinta'!$D$14</f>
        <v>2</v>
      </c>
      <c r="G27" s="395">
        <f>+IF('Diseño goteo-cinta'!$D$28&gt;='SECTOR goteo-cinta '!B27,('Diseño goteo-cinta'!$D$30/'Diseño goteo-cinta'!$D$28),0)</f>
        <v>0</v>
      </c>
      <c r="H27" s="53">
        <f t="shared" si="0"/>
        <v>0</v>
      </c>
      <c r="I27" s="54"/>
      <c r="J27" s="256">
        <f>+'Diseño goteo-cinta'!$D$27*'SECTOR goteo-cinta '!$G$7</f>
        <v>1.0999999999999999</v>
      </c>
      <c r="K27" s="55">
        <f>+'Diseño goteo-cinta'!$D$34</f>
        <v>3.3522727272727275</v>
      </c>
    </row>
    <row r="28" spans="2:11" s="1" customFormat="1" x14ac:dyDescent="0.25">
      <c r="B28" s="50">
        <f t="shared" si="1"/>
        <v>22</v>
      </c>
      <c r="C28" s="3" t="str">
        <f>+IF(G28&gt;0,'Diseño goteo-cinta'!$D$12,"Ocultar celda")</f>
        <v>Ocultar celda</v>
      </c>
      <c r="D28" s="51">
        <f>+'Diseño goteo-cinta'!$D$13</f>
        <v>5</v>
      </c>
      <c r="E28" s="3" t="s">
        <v>51</v>
      </c>
      <c r="F28" s="52">
        <f>+'Diseño goteo-cinta'!$D$14</f>
        <v>2</v>
      </c>
      <c r="G28" s="395">
        <f>+IF('Diseño goteo-cinta'!$D$28&gt;='SECTOR goteo-cinta '!B28,('Diseño goteo-cinta'!$D$30/'Diseño goteo-cinta'!$D$28),0)</f>
        <v>0</v>
      </c>
      <c r="H28" s="53">
        <f t="shared" si="0"/>
        <v>0</v>
      </c>
      <c r="I28" s="54"/>
      <c r="J28" s="256">
        <f>+'Diseño goteo-cinta'!$D$27*'SECTOR goteo-cinta '!$G$7</f>
        <v>1.0999999999999999</v>
      </c>
      <c r="K28" s="55">
        <f>+'Diseño goteo-cinta'!$D$34</f>
        <v>3.3522727272727275</v>
      </c>
    </row>
    <row r="29" spans="2:11" s="1" customFormat="1" x14ac:dyDescent="0.25">
      <c r="B29" s="50">
        <f t="shared" si="1"/>
        <v>23</v>
      </c>
      <c r="C29" s="3" t="str">
        <f>+IF(G29&gt;0,'Diseño goteo-cinta'!$D$12,"Ocultar celda")</f>
        <v>Ocultar celda</v>
      </c>
      <c r="D29" s="51">
        <f>+'Diseño goteo-cinta'!$D$13</f>
        <v>5</v>
      </c>
      <c r="E29" s="3" t="s">
        <v>51</v>
      </c>
      <c r="F29" s="52">
        <f>+'Diseño goteo-cinta'!$D$14</f>
        <v>2</v>
      </c>
      <c r="G29" s="395">
        <f>+IF('Diseño goteo-cinta'!$D$28&gt;='SECTOR goteo-cinta '!B29,('Diseño goteo-cinta'!$D$30/'Diseño goteo-cinta'!$D$28),0)</f>
        <v>0</v>
      </c>
      <c r="H29" s="53">
        <f t="shared" si="0"/>
        <v>0</v>
      </c>
      <c r="I29" s="54"/>
      <c r="J29" s="256">
        <f>+'Diseño goteo-cinta'!$D$27*'SECTOR goteo-cinta '!$G$7</f>
        <v>1.0999999999999999</v>
      </c>
      <c r="K29" s="55">
        <f>+'Diseño goteo-cinta'!$D$34</f>
        <v>3.3522727272727275</v>
      </c>
    </row>
    <row r="30" spans="2:11" s="1" customFormat="1" x14ac:dyDescent="0.25">
      <c r="B30" s="50">
        <f t="shared" si="1"/>
        <v>24</v>
      </c>
      <c r="C30" s="3" t="str">
        <f>+IF(G30&gt;0,'Diseño goteo-cinta'!$D$12,"Ocultar celda")</f>
        <v>Ocultar celda</v>
      </c>
      <c r="D30" s="51">
        <f>+'Diseño goteo-cinta'!$D$13</f>
        <v>5</v>
      </c>
      <c r="E30" s="3" t="s">
        <v>51</v>
      </c>
      <c r="F30" s="52">
        <f>+'Diseño goteo-cinta'!$D$14</f>
        <v>2</v>
      </c>
      <c r="G30" s="395">
        <f>+IF('Diseño goteo-cinta'!$D$28&gt;='SECTOR goteo-cinta '!B30,('Diseño goteo-cinta'!$D$30/'Diseño goteo-cinta'!$D$28),0)</f>
        <v>0</v>
      </c>
      <c r="H30" s="53">
        <f t="shared" si="0"/>
        <v>0</v>
      </c>
      <c r="I30" s="54"/>
      <c r="J30" s="256">
        <f>+'Diseño goteo-cinta'!$D$27*'SECTOR goteo-cinta '!$G$7</f>
        <v>1.0999999999999999</v>
      </c>
      <c r="K30" s="55">
        <f>+'Diseño goteo-cinta'!$D$34</f>
        <v>3.3522727272727275</v>
      </c>
    </row>
    <row r="31" spans="2:11" s="1" customFormat="1" x14ac:dyDescent="0.25">
      <c r="B31" s="50">
        <f t="shared" si="1"/>
        <v>25</v>
      </c>
      <c r="C31" s="3" t="str">
        <f>+IF(G31&gt;0,'Diseño goteo-cinta'!$D$12,"Ocultar celda")</f>
        <v>Ocultar celda</v>
      </c>
      <c r="D31" s="51">
        <f>+'Diseño goteo-cinta'!$D$13</f>
        <v>5</v>
      </c>
      <c r="E31" s="3" t="s">
        <v>51</v>
      </c>
      <c r="F31" s="52">
        <f>+'Diseño goteo-cinta'!$D$14</f>
        <v>2</v>
      </c>
      <c r="G31" s="395">
        <f>+IF('Diseño goteo-cinta'!$D$28&gt;='SECTOR goteo-cinta '!B31,('Diseño goteo-cinta'!$D$30/'Diseño goteo-cinta'!$D$28),0)</f>
        <v>0</v>
      </c>
      <c r="H31" s="53">
        <f t="shared" si="0"/>
        <v>0</v>
      </c>
      <c r="I31" s="54"/>
      <c r="J31" s="256">
        <f>+'Diseño goteo-cinta'!$D$27*'SECTOR goteo-cinta '!$G$7</f>
        <v>1.0999999999999999</v>
      </c>
      <c r="K31" s="55">
        <f>+'Diseño goteo-cinta'!$D$34</f>
        <v>3.3522727272727275</v>
      </c>
    </row>
    <row r="32" spans="2:11" s="1" customFormat="1" x14ac:dyDescent="0.25">
      <c r="B32" s="50">
        <f t="shared" si="1"/>
        <v>26</v>
      </c>
      <c r="C32" s="3" t="str">
        <f>+IF(G32&gt;0,'Diseño goteo-cinta'!$D$12,"Ocultar celda")</f>
        <v>Ocultar celda</v>
      </c>
      <c r="D32" s="51">
        <f>+'Diseño goteo-cinta'!$D$13</f>
        <v>5</v>
      </c>
      <c r="E32" s="3" t="s">
        <v>51</v>
      </c>
      <c r="F32" s="52">
        <f>+'Diseño goteo-cinta'!$D$14</f>
        <v>2</v>
      </c>
      <c r="G32" s="395">
        <f>+IF('Diseño goteo-cinta'!$D$28&gt;='SECTOR goteo-cinta '!B32,('Diseño goteo-cinta'!$D$30/'Diseño goteo-cinta'!$D$28),0)</f>
        <v>0</v>
      </c>
      <c r="H32" s="53">
        <f t="shared" si="0"/>
        <v>0</v>
      </c>
      <c r="I32" s="54"/>
      <c r="J32" s="256">
        <f>+'Diseño goteo-cinta'!$D$27*'SECTOR goteo-cinta '!$G$7</f>
        <v>1.0999999999999999</v>
      </c>
      <c r="K32" s="55">
        <f>+'Diseño goteo-cinta'!$D$34</f>
        <v>3.3522727272727275</v>
      </c>
    </row>
    <row r="33" spans="2:11" s="1" customFormat="1" x14ac:dyDescent="0.25">
      <c r="B33" s="50">
        <f t="shared" si="1"/>
        <v>27</v>
      </c>
      <c r="C33" s="3" t="str">
        <f>+IF(G33&gt;0,'Diseño goteo-cinta'!$D$12,"Ocultar celda")</f>
        <v>Ocultar celda</v>
      </c>
      <c r="D33" s="51">
        <f>+'Diseño goteo-cinta'!$D$13</f>
        <v>5</v>
      </c>
      <c r="E33" s="3" t="s">
        <v>51</v>
      </c>
      <c r="F33" s="52">
        <f>+'Diseño goteo-cinta'!$D$14</f>
        <v>2</v>
      </c>
      <c r="G33" s="395">
        <f>+IF('Diseño goteo-cinta'!$D$28&gt;='SECTOR goteo-cinta '!B33,('Diseño goteo-cinta'!$D$30/'Diseño goteo-cinta'!$D$28),0)</f>
        <v>0</v>
      </c>
      <c r="H33" s="53">
        <f t="shared" si="0"/>
        <v>0</v>
      </c>
      <c r="I33" s="54"/>
      <c r="J33" s="256">
        <f>+'Diseño goteo-cinta'!$D$27*'SECTOR goteo-cinta '!$G$7</f>
        <v>1.0999999999999999</v>
      </c>
      <c r="K33" s="55">
        <f>+'Diseño goteo-cinta'!$D$34</f>
        <v>3.3522727272727275</v>
      </c>
    </row>
    <row r="34" spans="2:11" s="1" customFormat="1" x14ac:dyDescent="0.25">
      <c r="B34" s="50">
        <f t="shared" si="1"/>
        <v>28</v>
      </c>
      <c r="C34" s="3" t="str">
        <f>+IF(G34&gt;0,'Diseño goteo-cinta'!$D$12,"Ocultar celda")</f>
        <v>Ocultar celda</v>
      </c>
      <c r="D34" s="51">
        <f>+'Diseño goteo-cinta'!$D$13</f>
        <v>5</v>
      </c>
      <c r="E34" s="3" t="s">
        <v>51</v>
      </c>
      <c r="F34" s="52">
        <f>+'Diseño goteo-cinta'!$D$14</f>
        <v>2</v>
      </c>
      <c r="G34" s="395">
        <f>+IF('Diseño goteo-cinta'!$D$28&gt;='SECTOR goteo-cinta '!B34,('Diseño goteo-cinta'!$D$30/'Diseño goteo-cinta'!$D$28),0)</f>
        <v>0</v>
      </c>
      <c r="H34" s="53">
        <f t="shared" si="0"/>
        <v>0</v>
      </c>
      <c r="I34" s="54"/>
      <c r="J34" s="256">
        <f>+'Diseño goteo-cinta'!$D$27*'SECTOR goteo-cinta '!$G$7</f>
        <v>1.0999999999999999</v>
      </c>
      <c r="K34" s="55">
        <f>+'Diseño goteo-cinta'!$D$34</f>
        <v>3.3522727272727275</v>
      </c>
    </row>
    <row r="35" spans="2:11" s="1" customFormat="1" x14ac:dyDescent="0.25">
      <c r="B35" s="50">
        <f t="shared" si="1"/>
        <v>29</v>
      </c>
      <c r="C35" s="3" t="str">
        <f>+IF(G35&gt;0,'Diseño goteo-cinta'!$D$12,"Ocultar celda")</f>
        <v>Ocultar celda</v>
      </c>
      <c r="D35" s="51">
        <f>+'Diseño goteo-cinta'!$D$13</f>
        <v>5</v>
      </c>
      <c r="E35" s="3" t="s">
        <v>51</v>
      </c>
      <c r="F35" s="52">
        <f>+'Diseño goteo-cinta'!$D$14</f>
        <v>2</v>
      </c>
      <c r="G35" s="395">
        <f>+IF('Diseño goteo-cinta'!$D$28&gt;='SECTOR goteo-cinta '!B35,('Diseño goteo-cinta'!$D$30/'Diseño goteo-cinta'!$D$28),0)</f>
        <v>0</v>
      </c>
      <c r="H35" s="53">
        <f t="shared" si="0"/>
        <v>0</v>
      </c>
      <c r="I35" s="54"/>
      <c r="J35" s="256">
        <f>+'Diseño goteo-cinta'!$D$27*'SECTOR goteo-cinta '!$G$7</f>
        <v>1.0999999999999999</v>
      </c>
      <c r="K35" s="55">
        <f>+'Diseño goteo-cinta'!$D$34</f>
        <v>3.3522727272727275</v>
      </c>
    </row>
    <row r="36" spans="2:11" s="1" customFormat="1" x14ac:dyDescent="0.25">
      <c r="B36" s="50">
        <f t="shared" si="1"/>
        <v>30</v>
      </c>
      <c r="C36" s="3" t="str">
        <f>+IF(G36&gt;0,'Diseño goteo-cinta'!$D$12,"Ocultar celda")</f>
        <v>Ocultar celda</v>
      </c>
      <c r="D36" s="51">
        <f>+'Diseño goteo-cinta'!$D$13</f>
        <v>5</v>
      </c>
      <c r="E36" s="3" t="s">
        <v>51</v>
      </c>
      <c r="F36" s="52">
        <f>+'Diseño goteo-cinta'!$D$14</f>
        <v>2</v>
      </c>
      <c r="G36" s="395">
        <f>+IF('Diseño goteo-cinta'!$D$28&gt;='SECTOR goteo-cinta '!B36,('Diseño goteo-cinta'!$D$30/'Diseño goteo-cinta'!$D$28),0)</f>
        <v>0</v>
      </c>
      <c r="H36" s="53">
        <f t="shared" si="0"/>
        <v>0</v>
      </c>
      <c r="I36" s="54"/>
      <c r="J36" s="256">
        <f>+'Diseño goteo-cinta'!$D$27*'SECTOR goteo-cinta '!$G$7</f>
        <v>1.0999999999999999</v>
      </c>
      <c r="K36" s="55">
        <f>+'Diseño goteo-cinta'!$D$34</f>
        <v>3.3522727272727275</v>
      </c>
    </row>
    <row r="37" spans="2:11" ht="13.5" thickBot="1" x14ac:dyDescent="0.25">
      <c r="B37" s="57"/>
      <c r="C37" s="58"/>
      <c r="D37" s="58"/>
      <c r="E37" s="58"/>
      <c r="F37" s="58"/>
      <c r="G37" s="59"/>
      <c r="H37" s="60"/>
      <c r="I37" s="60"/>
      <c r="J37" s="60"/>
      <c r="K37" s="61"/>
    </row>
    <row r="38" spans="2:11" ht="14.25" thickTop="1" thickBot="1" x14ac:dyDescent="0.25">
      <c r="B38" s="45" t="s">
        <v>52</v>
      </c>
      <c r="C38" s="46"/>
      <c r="D38" s="46"/>
      <c r="E38" s="46"/>
      <c r="F38" s="46"/>
      <c r="G38" s="63">
        <f>SUM(G7:G36)</f>
        <v>0.9</v>
      </c>
      <c r="H38" s="64">
        <f>SUM(H7:H36)</f>
        <v>900</v>
      </c>
      <c r="I38" s="46"/>
      <c r="J38" s="46" t="s">
        <v>53</v>
      </c>
      <c r="K38" s="65">
        <f>+'Diseño goteo-cinta'!$D$35</f>
        <v>13.40909090909091</v>
      </c>
    </row>
    <row r="39" spans="2:11" ht="13.5" thickTop="1" x14ac:dyDescent="0.2"/>
  </sheetData>
  <mergeCells count="4">
    <mergeCell ref="B2:K2"/>
    <mergeCell ref="D4:F4"/>
    <mergeCell ref="D5:F5"/>
    <mergeCell ref="N9:P9"/>
  </mergeCells>
  <pageMargins left="0.86" right="0.75" top="1.03" bottom="1" header="0.511811024" footer="0.511811024"/>
  <pageSetup scale="82" orientation="portrait" r:id="rId1"/>
  <headerFooter alignWithMargins="0">
    <oddHeader>&amp;A</oddHead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N75"/>
  <sheetViews>
    <sheetView workbookViewId="0">
      <selection activeCell="D12" sqref="D12:E12"/>
    </sheetView>
  </sheetViews>
  <sheetFormatPr baseColWidth="10" defaultRowHeight="13.5" x14ac:dyDescent="0.25"/>
  <cols>
    <col min="1" max="1" width="2.5703125" style="276" customWidth="1"/>
    <col min="2" max="2" width="30.28515625" style="276" bestFit="1" customWidth="1"/>
    <col min="3" max="3" width="1.28515625" style="276" customWidth="1"/>
    <col min="4" max="4" width="14.5703125" style="276" bestFit="1" customWidth="1"/>
    <col min="5" max="5" width="8" style="276" bestFit="1" customWidth="1"/>
    <col min="6" max="6" width="10.7109375" style="276" bestFit="1" customWidth="1"/>
    <col min="7" max="7" width="17" style="276" hidden="1" customWidth="1"/>
    <col min="8" max="11" width="6.85546875" style="276" bestFit="1" customWidth="1"/>
    <col min="12" max="12" width="12.28515625" style="276" customWidth="1"/>
    <col min="13" max="13" width="13.7109375" style="276" customWidth="1"/>
    <col min="14" max="14" width="13.28515625" style="276" customWidth="1"/>
    <col min="15" max="15" width="5.28515625" style="276" hidden="1" customWidth="1"/>
    <col min="16" max="16" width="14" style="276" bestFit="1" customWidth="1"/>
    <col min="17" max="17" width="12.140625" style="276" customWidth="1"/>
    <col min="18" max="18" width="6.85546875" style="276" bestFit="1" customWidth="1"/>
    <col min="19" max="19" width="7" style="276" bestFit="1" customWidth="1"/>
    <col min="20" max="20" width="5.28515625" style="276" bestFit="1" customWidth="1"/>
    <col min="21" max="21" width="6" style="276" bestFit="1" customWidth="1"/>
    <col min="22" max="22" width="5.7109375" style="276" bestFit="1" customWidth="1"/>
    <col min="23" max="23" width="7" style="276" bestFit="1" customWidth="1"/>
    <col min="24" max="24" width="7.140625" style="276" bestFit="1" customWidth="1"/>
    <col min="25" max="25" width="11.42578125" style="276" bestFit="1" customWidth="1"/>
    <col min="26" max="26" width="8.140625" style="276" bestFit="1" customWidth="1"/>
    <col min="27" max="27" width="11" style="276" bestFit="1" customWidth="1"/>
    <col min="28" max="28" width="13.28515625" style="276" bestFit="1" customWidth="1"/>
    <col min="29" max="29" width="16.140625" style="276" bestFit="1" customWidth="1"/>
    <col min="30" max="16384" width="11.42578125" style="276"/>
  </cols>
  <sheetData>
    <row r="1" spans="2:23" x14ac:dyDescent="0.25">
      <c r="J1" s="277"/>
      <c r="K1" s="277"/>
      <c r="L1" s="277"/>
      <c r="M1" s="277"/>
      <c r="N1" s="278"/>
      <c r="O1" s="278"/>
      <c r="P1" s="278"/>
      <c r="Q1" s="278"/>
      <c r="R1" s="278"/>
      <c r="S1" s="278"/>
      <c r="T1" s="278"/>
      <c r="U1" s="278"/>
      <c r="V1" s="278"/>
      <c r="W1" s="278"/>
    </row>
    <row r="2" spans="2:23" ht="14.25" thickBot="1" x14ac:dyDescent="0.3">
      <c r="J2" s="277"/>
      <c r="K2" s="277"/>
      <c r="L2" s="277"/>
      <c r="M2" s="277"/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spans="2:23" ht="15" thickTop="1" thickBot="1" x14ac:dyDescent="0.3">
      <c r="B3" s="186" t="s">
        <v>269</v>
      </c>
      <c r="C3" s="187" t="s">
        <v>1</v>
      </c>
      <c r="D3" s="389">
        <v>2.56</v>
      </c>
      <c r="J3" s="277"/>
      <c r="K3" s="277"/>
      <c r="L3" s="277"/>
      <c r="M3" s="277"/>
      <c r="N3" s="278"/>
      <c r="O3" s="278"/>
      <c r="P3" s="278"/>
      <c r="Q3" s="278"/>
      <c r="R3" s="278"/>
      <c r="S3" s="278"/>
      <c r="T3" s="278"/>
      <c r="U3" s="278"/>
      <c r="V3" s="278"/>
      <c r="W3" s="278"/>
    </row>
    <row r="4" spans="2:23" ht="16.5" thickTop="1" thickBot="1" x14ac:dyDescent="0.3">
      <c r="B4" s="186" t="s">
        <v>270</v>
      </c>
      <c r="C4" s="187" t="s">
        <v>1</v>
      </c>
      <c r="D4" s="389"/>
      <c r="J4" s="277"/>
      <c r="K4" s="277"/>
      <c r="L4" s="277"/>
      <c r="M4" s="277"/>
      <c r="N4" s="278"/>
      <c r="O4" s="278"/>
      <c r="P4" s="278"/>
      <c r="Q4" s="278"/>
      <c r="R4" s="278"/>
      <c r="S4" s="278"/>
      <c r="T4" s="278"/>
      <c r="U4" s="278"/>
      <c r="V4" s="278"/>
      <c r="W4" s="278"/>
    </row>
    <row r="5" spans="2:23" ht="15" thickTop="1" thickBot="1" x14ac:dyDescent="0.3">
      <c r="B5" s="186" t="s">
        <v>195</v>
      </c>
      <c r="C5" s="187" t="s">
        <v>1</v>
      </c>
      <c r="D5" s="389">
        <v>8</v>
      </c>
      <c r="J5" s="277"/>
      <c r="K5" s="277"/>
      <c r="L5" s="277"/>
      <c r="M5" s="277"/>
      <c r="N5" s="278"/>
      <c r="O5" s="278"/>
      <c r="P5" s="278"/>
      <c r="Q5" s="278"/>
      <c r="R5" s="278"/>
      <c r="S5" s="278"/>
      <c r="T5" s="278"/>
      <c r="U5" s="278"/>
      <c r="V5" s="278"/>
      <c r="W5" s="278"/>
    </row>
    <row r="6" spans="2:23" ht="15" thickTop="1" thickBot="1" x14ac:dyDescent="0.3">
      <c r="B6" s="186" t="s">
        <v>196</v>
      </c>
      <c r="C6" s="187" t="s">
        <v>1</v>
      </c>
      <c r="D6" s="192" t="str">
        <f>+ETP!$E$12</f>
        <v>Enero</v>
      </c>
      <c r="J6" s="277"/>
      <c r="K6" s="277"/>
      <c r="L6" s="277"/>
      <c r="M6" s="277"/>
      <c r="N6" s="278"/>
      <c r="O6" s="278"/>
      <c r="P6" s="278"/>
      <c r="Q6" s="278"/>
      <c r="R6" s="278"/>
      <c r="S6" s="278"/>
      <c r="T6" s="278"/>
      <c r="U6" s="278"/>
      <c r="V6" s="278"/>
      <c r="W6" s="278"/>
    </row>
    <row r="7" spans="2:23" ht="15" thickTop="1" thickBot="1" x14ac:dyDescent="0.3">
      <c r="B7" s="186" t="s">
        <v>203</v>
      </c>
      <c r="C7" s="187" t="s">
        <v>1</v>
      </c>
      <c r="D7" s="389" t="s">
        <v>261</v>
      </c>
      <c r="J7" s="277"/>
      <c r="K7" s="277"/>
      <c r="L7" s="277"/>
      <c r="M7" s="277"/>
      <c r="N7" s="278"/>
      <c r="O7" s="278"/>
      <c r="P7" s="278"/>
      <c r="Q7" s="278"/>
      <c r="R7" s="278"/>
      <c r="S7" s="278"/>
      <c r="T7" s="278"/>
      <c r="U7" s="278"/>
      <c r="V7" s="278"/>
      <c r="W7" s="278"/>
    </row>
    <row r="8" spans="2:23" ht="14.25" thickTop="1" x14ac:dyDescent="0.25">
      <c r="J8" s="277"/>
      <c r="K8" s="277"/>
      <c r="L8" s="277"/>
      <c r="M8" s="277"/>
      <c r="N8" s="278"/>
      <c r="O8" s="278"/>
      <c r="P8" s="278"/>
      <c r="Q8" s="278"/>
      <c r="R8" s="278"/>
      <c r="S8" s="278"/>
      <c r="T8" s="278"/>
      <c r="U8" s="278"/>
      <c r="V8" s="278"/>
      <c r="W8" s="278"/>
    </row>
    <row r="9" spans="2:23" ht="15" x14ac:dyDescent="0.3">
      <c r="B9" s="279" t="s">
        <v>220</v>
      </c>
      <c r="C9" s="278"/>
      <c r="D9" s="278"/>
      <c r="E9" s="278"/>
      <c r="J9" s="277"/>
      <c r="K9" s="277"/>
      <c r="L9" s="277"/>
      <c r="M9" s="277"/>
      <c r="N9" s="278"/>
      <c r="O9" s="278"/>
      <c r="P9" s="278"/>
      <c r="Q9" s="278"/>
      <c r="R9" s="278"/>
      <c r="S9" s="278"/>
      <c r="T9" s="278"/>
      <c r="U9" s="278"/>
      <c r="V9" s="278"/>
      <c r="W9" s="278"/>
    </row>
    <row r="10" spans="2:23" ht="14.25" thickBot="1" x14ac:dyDescent="0.3">
      <c r="B10" s="278"/>
      <c r="C10" s="280"/>
      <c r="D10" s="278"/>
      <c r="E10" s="278"/>
      <c r="J10" s="277"/>
      <c r="K10" s="277"/>
      <c r="L10" s="277"/>
      <c r="M10" s="277"/>
      <c r="N10" s="278"/>
      <c r="O10" s="278"/>
      <c r="P10" s="278"/>
      <c r="Q10" s="278"/>
      <c r="R10" s="278"/>
      <c r="S10" s="278"/>
      <c r="T10" s="278"/>
      <c r="U10" s="278"/>
      <c r="V10" s="278"/>
      <c r="W10" s="278"/>
    </row>
    <row r="11" spans="2:23" ht="14.25" customHeight="1" x14ac:dyDescent="0.25">
      <c r="B11" s="321" t="s">
        <v>139</v>
      </c>
      <c r="C11" s="322" t="s">
        <v>1</v>
      </c>
      <c r="D11" s="468"/>
      <c r="E11" s="469"/>
      <c r="J11" s="278"/>
      <c r="K11" s="277"/>
      <c r="L11" s="277"/>
      <c r="M11" s="277"/>
      <c r="N11" s="278"/>
      <c r="O11" s="278"/>
      <c r="P11" s="278"/>
      <c r="Q11" s="278"/>
      <c r="R11" s="278"/>
      <c r="S11" s="278"/>
      <c r="T11" s="278"/>
      <c r="U11" s="278"/>
      <c r="V11" s="278"/>
      <c r="W11" s="278"/>
    </row>
    <row r="12" spans="2:23" ht="16.5" customHeight="1" x14ac:dyDescent="0.25">
      <c r="B12" s="292" t="s">
        <v>245</v>
      </c>
      <c r="C12" s="285" t="s">
        <v>1</v>
      </c>
      <c r="D12" s="470" t="s">
        <v>244</v>
      </c>
      <c r="E12" s="471"/>
      <c r="J12" s="277"/>
      <c r="K12" s="277"/>
      <c r="L12" s="277"/>
      <c r="M12" s="277"/>
      <c r="N12" s="278"/>
      <c r="O12" s="278"/>
      <c r="P12" s="278"/>
      <c r="Q12" s="278"/>
      <c r="R12" s="278"/>
      <c r="S12" s="278"/>
      <c r="T12" s="278"/>
      <c r="U12" s="278"/>
      <c r="V12" s="278"/>
      <c r="W12" s="278"/>
    </row>
    <row r="13" spans="2:23" x14ac:dyDescent="0.25">
      <c r="B13" s="292" t="s">
        <v>221</v>
      </c>
      <c r="C13" s="285" t="s">
        <v>1</v>
      </c>
      <c r="D13" s="323">
        <f>+IF($D$12="6 x 6",6,IF($D$12="12 x 12",12,IF($D$12="18 x 18",18,24)))</f>
        <v>12</v>
      </c>
      <c r="E13" s="286" t="s">
        <v>3</v>
      </c>
      <c r="J13" s="277"/>
      <c r="K13" s="277"/>
      <c r="L13" s="277"/>
      <c r="M13" s="277"/>
      <c r="N13" s="278"/>
      <c r="O13" s="278"/>
      <c r="P13" s="278"/>
      <c r="Q13" s="278"/>
      <c r="R13" s="278"/>
      <c r="S13" s="278"/>
      <c r="T13" s="278"/>
      <c r="U13" s="278"/>
      <c r="V13" s="278"/>
      <c r="W13" s="278"/>
    </row>
    <row r="14" spans="2:23" ht="14.25" thickBot="1" x14ac:dyDescent="0.3">
      <c r="B14" s="283" t="s">
        <v>222</v>
      </c>
      <c r="C14" s="284" t="s">
        <v>1</v>
      </c>
      <c r="D14" s="324">
        <f>+IF($D$12="6 x 6",6,IF($D$12="12 x 12",12,IF($D$12="18 x 18",18,24)))</f>
        <v>12</v>
      </c>
      <c r="E14" s="320" t="s">
        <v>3</v>
      </c>
      <c r="J14" s="277"/>
      <c r="K14" s="277"/>
      <c r="L14" s="277"/>
      <c r="M14" s="277"/>
      <c r="N14" s="278"/>
      <c r="O14" s="278"/>
      <c r="P14" s="278"/>
      <c r="Q14" s="278"/>
      <c r="R14" s="278"/>
      <c r="S14" s="278"/>
      <c r="T14" s="278"/>
      <c r="U14" s="278"/>
      <c r="V14" s="278"/>
      <c r="W14" s="278"/>
    </row>
    <row r="15" spans="2:23" ht="14.25" thickTop="1" x14ac:dyDescent="0.25">
      <c r="B15" s="318" t="s">
        <v>124</v>
      </c>
      <c r="C15" s="11" t="s">
        <v>1</v>
      </c>
      <c r="D15" s="246">
        <f>ROUND(HLOOKUP($D$6,ETP!$B$6:$O$8,ETP!B7,0)/(HLOOKUP($D$6,ETP!$B$6:$O$8,ETP!$B$8,0)),2)</f>
        <v>5.9</v>
      </c>
      <c r="E15" s="314" t="s">
        <v>10</v>
      </c>
      <c r="J15" s="277"/>
      <c r="K15" s="277"/>
      <c r="L15" s="277"/>
      <c r="M15" s="277"/>
      <c r="N15" s="278"/>
      <c r="O15" s="278"/>
      <c r="P15" s="278"/>
      <c r="Q15" s="278"/>
      <c r="R15" s="278"/>
      <c r="S15" s="278"/>
      <c r="T15" s="278"/>
      <c r="U15" s="278"/>
      <c r="V15" s="278"/>
      <c r="W15" s="278"/>
    </row>
    <row r="16" spans="2:23" x14ac:dyDescent="0.25">
      <c r="B16" s="318" t="s">
        <v>125</v>
      </c>
      <c r="C16" s="11" t="s">
        <v>1</v>
      </c>
      <c r="D16" s="390">
        <v>1</v>
      </c>
      <c r="E16" s="315"/>
      <c r="J16" s="277"/>
      <c r="K16" s="277"/>
      <c r="L16" s="455" t="s">
        <v>205</v>
      </c>
      <c r="M16" s="455"/>
      <c r="N16" s="278"/>
      <c r="O16" s="278"/>
      <c r="P16" s="455" t="s">
        <v>271</v>
      </c>
      <c r="Q16" s="455"/>
      <c r="R16" s="278"/>
      <c r="S16" s="278"/>
      <c r="T16" s="278"/>
      <c r="U16" s="278"/>
      <c r="V16" s="278"/>
      <c r="W16" s="278"/>
    </row>
    <row r="17" spans="2:30" x14ac:dyDescent="0.25">
      <c r="B17" s="318" t="s">
        <v>9</v>
      </c>
      <c r="C17" s="11" t="s">
        <v>1</v>
      </c>
      <c r="D17" s="181">
        <f>+D15*D16/(D19/100)</f>
        <v>7.8666666666666671</v>
      </c>
      <c r="E17" s="314" t="s">
        <v>10</v>
      </c>
      <c r="J17" s="277"/>
      <c r="K17" s="277"/>
      <c r="L17" s="454" t="str">
        <f xml:space="preserve"> IF($D$5&gt;=$D$31,"Cumple","No cumple")</f>
        <v>No cumple</v>
      </c>
      <c r="M17" s="454"/>
      <c r="N17" s="278"/>
      <c r="O17" s="278"/>
      <c r="P17" s="454" t="str">
        <f xml:space="preserve"> IF($D$3&gt;=$D$39,"Cumple","No cumple")</f>
        <v>Cumple</v>
      </c>
      <c r="Q17" s="454"/>
      <c r="R17" s="278"/>
      <c r="S17" s="278"/>
      <c r="T17" s="278"/>
      <c r="U17" s="278"/>
      <c r="V17" s="278"/>
      <c r="W17" s="278"/>
    </row>
    <row r="18" spans="2:30" x14ac:dyDescent="0.25">
      <c r="B18" s="318" t="s">
        <v>11</v>
      </c>
      <c r="C18" s="11" t="s">
        <v>1</v>
      </c>
      <c r="D18" s="22">
        <f>+D17*D19/100</f>
        <v>5.9</v>
      </c>
      <c r="E18" s="316" t="s">
        <v>10</v>
      </c>
      <c r="J18" s="277"/>
      <c r="K18" s="277"/>
      <c r="L18" s="454"/>
      <c r="M18" s="454"/>
      <c r="N18" s="278"/>
      <c r="O18" s="278"/>
      <c r="P18" s="454"/>
      <c r="Q18" s="454"/>
      <c r="R18" s="278"/>
      <c r="S18" s="278"/>
      <c r="T18" s="278"/>
      <c r="U18" s="278"/>
      <c r="V18" s="278"/>
      <c r="W18" s="278"/>
    </row>
    <row r="19" spans="2:30" ht="14.25" thickBot="1" x14ac:dyDescent="0.3">
      <c r="B19" s="319" t="s">
        <v>12</v>
      </c>
      <c r="C19" s="18" t="s">
        <v>1</v>
      </c>
      <c r="D19" s="396">
        <v>75</v>
      </c>
      <c r="E19" s="317" t="s">
        <v>13</v>
      </c>
      <c r="J19" s="277"/>
      <c r="K19" s="277"/>
      <c r="L19" s="454"/>
      <c r="M19" s="454"/>
      <c r="N19" s="278"/>
      <c r="O19" s="278"/>
      <c r="P19" s="454"/>
      <c r="Q19" s="454"/>
      <c r="R19" s="278"/>
      <c r="S19" s="278"/>
      <c r="T19" s="278"/>
      <c r="U19" s="278"/>
      <c r="V19" s="278"/>
      <c r="W19" s="278"/>
    </row>
    <row r="20" spans="2:30" ht="14.25" hidden="1" thickTop="1" x14ac:dyDescent="0.25">
      <c r="B20" s="281" t="s">
        <v>223</v>
      </c>
      <c r="C20" s="285" t="s">
        <v>1</v>
      </c>
      <c r="D20" s="287">
        <v>1</v>
      </c>
      <c r="E20" s="286"/>
      <c r="J20" s="278"/>
      <c r="K20" s="277"/>
      <c r="L20" s="454"/>
      <c r="M20" s="454"/>
      <c r="N20" s="278"/>
      <c r="O20" s="278"/>
      <c r="P20" s="454"/>
      <c r="Q20" s="454"/>
      <c r="R20" s="278"/>
      <c r="S20" s="278"/>
      <c r="T20" s="278"/>
      <c r="U20" s="278"/>
      <c r="V20" s="278"/>
      <c r="W20" s="278"/>
    </row>
    <row r="21" spans="2:30" ht="15" thickTop="1" thickBot="1" x14ac:dyDescent="0.3">
      <c r="B21" s="283" t="s">
        <v>5</v>
      </c>
      <c r="C21" s="284" t="s">
        <v>1</v>
      </c>
      <c r="D21" s="397">
        <v>1</v>
      </c>
      <c r="E21" s="288" t="s">
        <v>6</v>
      </c>
      <c r="J21" s="277"/>
      <c r="K21" s="277"/>
      <c r="L21" s="277"/>
      <c r="M21" s="277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</row>
    <row r="22" spans="2:30" ht="14.25" hidden="1" customHeight="1" thickTop="1" thickBot="1" x14ac:dyDescent="0.3">
      <c r="B22" s="283" t="s">
        <v>224</v>
      </c>
      <c r="C22" s="284" t="s">
        <v>1</v>
      </c>
      <c r="D22" s="289">
        <f>TRUNC(D21*10000/D13/D14,0)</f>
        <v>69</v>
      </c>
      <c r="E22" s="290"/>
      <c r="J22" s="277"/>
      <c r="K22" s="277"/>
      <c r="L22" s="277"/>
      <c r="M22" s="277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</row>
    <row r="23" spans="2:30" ht="14.25" thickTop="1" x14ac:dyDescent="0.25">
      <c r="B23" s="281" t="s">
        <v>16</v>
      </c>
      <c r="C23" s="291" t="s">
        <v>1</v>
      </c>
      <c r="D23" s="398">
        <v>20</v>
      </c>
      <c r="E23" s="286" t="s">
        <v>17</v>
      </c>
      <c r="J23" s="277"/>
      <c r="K23" s="277"/>
      <c r="L23" s="277"/>
      <c r="M23" s="277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</row>
    <row r="24" spans="2:30" x14ac:dyDescent="0.25">
      <c r="B24" s="281" t="s">
        <v>18</v>
      </c>
      <c r="C24" s="285" t="s">
        <v>1</v>
      </c>
      <c r="D24" s="399">
        <v>540</v>
      </c>
      <c r="E24" s="286" t="s">
        <v>19</v>
      </c>
      <c r="J24" s="277"/>
      <c r="K24" s="277"/>
      <c r="L24" s="277"/>
      <c r="M24" s="277"/>
      <c r="N24" s="278"/>
      <c r="O24" s="278"/>
      <c r="P24" s="455" t="s">
        <v>272</v>
      </c>
      <c r="Q24" s="455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</row>
    <row r="25" spans="2:30" ht="27.75" customHeight="1" x14ac:dyDescent="0.25">
      <c r="B25" s="355" t="s">
        <v>15</v>
      </c>
      <c r="C25" s="354" t="s">
        <v>1</v>
      </c>
      <c r="D25" s="470" t="s">
        <v>253</v>
      </c>
      <c r="E25" s="471"/>
      <c r="H25" s="456" t="s">
        <v>225</v>
      </c>
      <c r="I25" s="456"/>
      <c r="J25" s="456"/>
      <c r="K25" s="277"/>
      <c r="L25" s="277"/>
      <c r="M25" s="277"/>
      <c r="N25" s="278"/>
      <c r="O25" s="278"/>
      <c r="P25" s="455" t="str">
        <f>+IF($D$4&gt;0,(IF($D$4&gt;$L$73,"Cumple","No cumple, aumentar N° sectores")),"No Aplica")</f>
        <v>No Aplica</v>
      </c>
      <c r="Q25" s="455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</row>
    <row r="26" spans="2:30" ht="14.25" thickBot="1" x14ac:dyDescent="0.3">
      <c r="B26" s="283" t="s">
        <v>226</v>
      </c>
      <c r="C26" s="284" t="s">
        <v>1</v>
      </c>
      <c r="D26" s="329">
        <f>360*(D24/3600)/(D13*D14)</f>
        <v>0.375</v>
      </c>
      <c r="E26" s="320" t="s">
        <v>227</v>
      </c>
      <c r="H26" s="473" t="s">
        <v>246</v>
      </c>
      <c r="I26" s="473"/>
      <c r="J26" s="473"/>
      <c r="K26" s="277"/>
      <c r="L26" s="277"/>
      <c r="M26" s="277"/>
      <c r="N26" s="278"/>
      <c r="O26" s="278"/>
      <c r="P26" s="455"/>
      <c r="Q26" s="455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</row>
    <row r="27" spans="2:30" ht="15.75" thickTop="1" x14ac:dyDescent="0.25">
      <c r="B27" s="281" t="s">
        <v>228</v>
      </c>
      <c r="C27" s="285" t="s">
        <v>1</v>
      </c>
      <c r="D27" s="400">
        <v>3.56</v>
      </c>
      <c r="E27" s="286" t="s">
        <v>229</v>
      </c>
      <c r="J27" s="277"/>
      <c r="K27" s="277"/>
      <c r="L27" s="277"/>
      <c r="M27" s="277"/>
      <c r="N27" s="278"/>
      <c r="O27" s="278"/>
      <c r="P27" s="472"/>
      <c r="Q27" s="472"/>
      <c r="R27" s="472"/>
      <c r="S27" s="472"/>
      <c r="T27" s="472"/>
      <c r="U27" s="472"/>
      <c r="V27" s="472"/>
      <c r="W27" s="472"/>
      <c r="X27" s="472"/>
      <c r="Y27" s="472"/>
      <c r="Z27" s="472"/>
      <c r="AA27" s="472"/>
      <c r="AB27" s="326"/>
      <c r="AC27" s="278"/>
      <c r="AD27" s="278"/>
    </row>
    <row r="28" spans="2:30" x14ac:dyDescent="0.25">
      <c r="B28" s="281" t="s">
        <v>230</v>
      </c>
      <c r="C28" s="285" t="s">
        <v>1</v>
      </c>
      <c r="D28" s="294">
        <f>(D27/D26)</f>
        <v>9.4933333333333341</v>
      </c>
      <c r="E28" s="286" t="s">
        <v>29</v>
      </c>
      <c r="K28" s="277"/>
      <c r="L28" s="277"/>
      <c r="M28" s="277"/>
      <c r="N28" s="278"/>
      <c r="O28" s="278"/>
      <c r="P28" s="357"/>
      <c r="Q28" s="357"/>
      <c r="R28" s="357"/>
      <c r="S28" s="357"/>
      <c r="T28" s="357"/>
      <c r="U28" s="358"/>
      <c r="V28" s="358"/>
      <c r="W28" s="358"/>
      <c r="X28" s="358"/>
      <c r="Y28" s="358"/>
      <c r="Z28" s="358"/>
      <c r="AA28" s="358"/>
      <c r="AB28" s="358"/>
      <c r="AC28" s="278"/>
      <c r="AD28" s="278"/>
    </row>
    <row r="29" spans="2:30" ht="15" x14ac:dyDescent="0.25">
      <c r="B29" s="281" t="s">
        <v>231</v>
      </c>
      <c r="C29" s="285" t="s">
        <v>1</v>
      </c>
      <c r="D29" s="294">
        <f>ROUNDDOWN(D27/(D17/10),0)</f>
        <v>4</v>
      </c>
      <c r="E29" s="286" t="s">
        <v>232</v>
      </c>
      <c r="F29" s="295"/>
      <c r="G29" s="277"/>
      <c r="H29" s="278"/>
      <c r="I29" s="278"/>
      <c r="K29" s="277"/>
      <c r="L29" s="277"/>
      <c r="M29" s="277"/>
      <c r="N29" s="278"/>
      <c r="O29" s="278">
        <v>1</v>
      </c>
      <c r="P29" s="213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359"/>
      <c r="AC29" s="278"/>
      <c r="AD29" s="278"/>
    </row>
    <row r="30" spans="2:30" ht="15" x14ac:dyDescent="0.25">
      <c r="B30" s="292" t="s">
        <v>243</v>
      </c>
      <c r="C30" s="285" t="s">
        <v>1</v>
      </c>
      <c r="D30" s="401">
        <v>2</v>
      </c>
      <c r="E30" s="330"/>
      <c r="F30" s="278"/>
      <c r="G30" s="277"/>
      <c r="H30" s="278"/>
      <c r="I30" s="278"/>
      <c r="K30" s="277"/>
      <c r="L30" s="277"/>
      <c r="M30" s="277"/>
      <c r="N30" s="278"/>
      <c r="O30" s="278">
        <v>2</v>
      </c>
      <c r="P30" s="213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278"/>
      <c r="AD30" s="278"/>
    </row>
    <row r="31" spans="2:30" ht="15" x14ac:dyDescent="0.25">
      <c r="B31" s="292" t="s">
        <v>233</v>
      </c>
      <c r="C31" s="285" t="s">
        <v>1</v>
      </c>
      <c r="D31" s="296">
        <f>D28*D30</f>
        <v>18.986666666666668</v>
      </c>
      <c r="E31" s="297" t="s">
        <v>29</v>
      </c>
      <c r="F31" s="277"/>
      <c r="G31" s="277"/>
      <c r="H31" s="278"/>
      <c r="I31" s="278"/>
      <c r="K31" s="277"/>
      <c r="L31" s="277"/>
      <c r="M31" s="277"/>
      <c r="N31" s="278"/>
      <c r="O31" s="278">
        <v>3</v>
      </c>
      <c r="P31" s="213"/>
      <c r="Q31" s="197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278"/>
      <c r="AD31" s="278"/>
    </row>
    <row r="32" spans="2:30" ht="14.25" thickBot="1" x14ac:dyDescent="0.3">
      <c r="B32" s="283" t="s">
        <v>26</v>
      </c>
      <c r="C32" s="284" t="s">
        <v>1</v>
      </c>
      <c r="D32" s="335">
        <f>D40*60/10000*60</f>
        <v>3.8879999999999999</v>
      </c>
      <c r="E32" s="336" t="s">
        <v>27</v>
      </c>
      <c r="F32" s="277"/>
      <c r="G32" s="277"/>
      <c r="H32" s="278"/>
      <c r="I32" s="278"/>
      <c r="K32" s="277"/>
      <c r="L32" s="277"/>
      <c r="M32" s="277"/>
      <c r="N32" s="278"/>
      <c r="O32" s="278"/>
      <c r="P32" s="360"/>
      <c r="Q32" s="360"/>
      <c r="R32" s="360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278"/>
      <c r="AD32" s="278"/>
    </row>
    <row r="33" spans="1:66" s="402" customFormat="1" ht="13.5" customHeight="1" thickTop="1" x14ac:dyDescent="0.25">
      <c r="B33" s="403" t="s">
        <v>234</v>
      </c>
      <c r="C33" s="404" t="s">
        <v>1</v>
      </c>
      <c r="D33" s="405">
        <v>7</v>
      </c>
      <c r="E33" s="406" t="s">
        <v>232</v>
      </c>
      <c r="F33" s="407"/>
      <c r="G33" s="407"/>
      <c r="H33" s="408"/>
      <c r="I33" s="408"/>
      <c r="K33" s="407"/>
      <c r="L33" s="407"/>
      <c r="M33" s="407"/>
      <c r="N33" s="408"/>
      <c r="O33" s="408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09"/>
      <c r="AA33" s="409"/>
      <c r="AB33" s="409"/>
      <c r="AC33" s="408"/>
      <c r="AD33" s="408"/>
    </row>
    <row r="34" spans="1:66" s="402" customFormat="1" ht="13.5" customHeight="1" x14ac:dyDescent="0.25">
      <c r="B34" s="403" t="s">
        <v>235</v>
      </c>
      <c r="C34" s="404" t="s">
        <v>1</v>
      </c>
      <c r="D34" s="405">
        <f>(D21/D29)*(D28/24)*(7/D33)*(24/D31)</f>
        <v>0.125</v>
      </c>
      <c r="E34" s="406" t="s">
        <v>6</v>
      </c>
      <c r="F34" s="407"/>
      <c r="G34" s="407"/>
      <c r="H34" s="408"/>
      <c r="I34" s="408"/>
      <c r="K34" s="407"/>
      <c r="L34" s="407"/>
      <c r="M34" s="407"/>
      <c r="N34" s="408"/>
      <c r="O34" s="408"/>
      <c r="P34" s="408"/>
      <c r="Q34" s="408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</row>
    <row r="35" spans="1:66" s="299" customFormat="1" ht="13.5" customHeight="1" x14ac:dyDescent="0.25">
      <c r="A35" s="327"/>
      <c r="B35" s="281" t="s">
        <v>236</v>
      </c>
      <c r="C35" s="285" t="s">
        <v>1</v>
      </c>
      <c r="D35" s="293">
        <f>ROUNDUP(D21/D34,0)</f>
        <v>8</v>
      </c>
      <c r="E35" s="286"/>
      <c r="F35" s="325"/>
      <c r="G35" s="325"/>
      <c r="H35" s="326"/>
      <c r="I35" s="326"/>
      <c r="J35" s="327"/>
      <c r="K35" s="325"/>
      <c r="L35" s="325"/>
      <c r="M35" s="325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7"/>
      <c r="AF35" s="327"/>
      <c r="AG35" s="327"/>
      <c r="AH35" s="327"/>
      <c r="AI35" s="327"/>
      <c r="AJ35" s="327"/>
      <c r="AK35" s="327"/>
      <c r="AL35" s="327"/>
      <c r="AM35" s="327"/>
      <c r="AN35" s="327"/>
      <c r="AO35" s="327"/>
      <c r="AP35" s="327"/>
      <c r="AQ35" s="327"/>
      <c r="AR35" s="327"/>
      <c r="AS35" s="327"/>
      <c r="AT35" s="327"/>
      <c r="AU35" s="327"/>
      <c r="AV35" s="327"/>
      <c r="AW35" s="327"/>
      <c r="AX35" s="327"/>
      <c r="AY35" s="327"/>
      <c r="AZ35" s="327"/>
      <c r="BA35" s="327"/>
      <c r="BB35" s="327"/>
      <c r="BC35" s="327"/>
      <c r="BD35" s="327"/>
      <c r="BE35" s="327"/>
      <c r="BF35" s="327"/>
      <c r="BG35" s="327"/>
      <c r="BH35" s="327"/>
      <c r="BI35" s="327"/>
      <c r="BJ35" s="327"/>
      <c r="BK35" s="327"/>
      <c r="BL35" s="327"/>
      <c r="BM35" s="327"/>
      <c r="BN35" s="327"/>
    </row>
    <row r="36" spans="1:66" x14ac:dyDescent="0.25">
      <c r="A36" s="327"/>
      <c r="B36" s="300" t="s">
        <v>237</v>
      </c>
      <c r="C36" s="298" t="s">
        <v>1</v>
      </c>
      <c r="D36" s="301">
        <f>ROUNDUP(D34*10000/(D13*D14),0)</f>
        <v>9</v>
      </c>
      <c r="E36" s="302"/>
      <c r="F36" s="325"/>
      <c r="G36" s="325"/>
      <c r="H36" s="326"/>
      <c r="I36" s="326"/>
      <c r="J36" s="327"/>
      <c r="K36" s="325"/>
      <c r="L36" s="325"/>
      <c r="M36" s="325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  <c r="BB36" s="327"/>
      <c r="BC36" s="327"/>
      <c r="BD36" s="327"/>
      <c r="BE36" s="327"/>
      <c r="BF36" s="327"/>
      <c r="BG36" s="327"/>
      <c r="BH36" s="327"/>
      <c r="BI36" s="327"/>
      <c r="BJ36" s="327"/>
      <c r="BK36" s="327"/>
      <c r="BL36" s="327"/>
      <c r="BM36" s="327"/>
      <c r="BN36" s="327"/>
    </row>
    <row r="37" spans="1:66" s="299" customFormat="1" ht="13.5" customHeight="1" x14ac:dyDescent="0.25">
      <c r="A37" s="327"/>
      <c r="B37" s="292" t="s">
        <v>238</v>
      </c>
      <c r="C37" s="285" t="s">
        <v>1</v>
      </c>
      <c r="D37" s="398">
        <v>8</v>
      </c>
      <c r="E37" s="303"/>
      <c r="F37" s="325"/>
      <c r="G37" s="325"/>
      <c r="H37" s="326"/>
      <c r="I37" s="326"/>
      <c r="J37" s="327"/>
      <c r="K37" s="325"/>
      <c r="L37" s="325"/>
      <c r="M37" s="325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7"/>
      <c r="AF37" s="327"/>
      <c r="AG37" s="327"/>
      <c r="AH37" s="327"/>
      <c r="AI37" s="327"/>
      <c r="AJ37" s="327"/>
      <c r="AK37" s="327"/>
      <c r="AL37" s="327"/>
      <c r="AM37" s="327"/>
      <c r="AN37" s="327"/>
      <c r="AO37" s="327"/>
      <c r="AP37" s="327"/>
      <c r="AQ37" s="327"/>
      <c r="AR37" s="327"/>
      <c r="AS37" s="327"/>
      <c r="AT37" s="327"/>
      <c r="AU37" s="327"/>
      <c r="AV37" s="327"/>
      <c r="AW37" s="327"/>
      <c r="AX37" s="327"/>
      <c r="AY37" s="327"/>
      <c r="AZ37" s="327"/>
      <c r="BA37" s="327"/>
      <c r="BB37" s="327"/>
      <c r="BC37" s="327"/>
      <c r="BD37" s="327"/>
      <c r="BE37" s="327"/>
      <c r="BF37" s="327"/>
      <c r="BG37" s="327"/>
      <c r="BH37" s="327"/>
      <c r="BI37" s="327"/>
      <c r="BJ37" s="327"/>
      <c r="BK37" s="327"/>
      <c r="BL37" s="327"/>
      <c r="BM37" s="327"/>
      <c r="BN37" s="327"/>
    </row>
    <row r="38" spans="1:66" x14ac:dyDescent="0.25">
      <c r="A38" s="327"/>
      <c r="B38" s="300" t="s">
        <v>239</v>
      </c>
      <c r="C38" s="298" t="s">
        <v>1</v>
      </c>
      <c r="D38" s="304">
        <f>D36*D24/3600</f>
        <v>1.35</v>
      </c>
      <c r="E38" s="305" t="s">
        <v>240</v>
      </c>
      <c r="F38" s="325"/>
      <c r="G38" s="325"/>
      <c r="H38" s="326"/>
      <c r="I38" s="326"/>
      <c r="J38" s="327"/>
      <c r="K38" s="325"/>
      <c r="L38" s="325"/>
      <c r="M38" s="325"/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</row>
    <row r="39" spans="1:66" s="299" customFormat="1" ht="13.5" customHeight="1" x14ac:dyDescent="0.25">
      <c r="A39" s="327"/>
      <c r="B39" s="292" t="s">
        <v>241</v>
      </c>
      <c r="C39" s="285" t="s">
        <v>1</v>
      </c>
      <c r="D39" s="306">
        <f>D37*D24/3600</f>
        <v>1.2</v>
      </c>
      <c r="E39" s="307" t="s">
        <v>240</v>
      </c>
      <c r="F39" s="328"/>
      <c r="G39" s="327"/>
      <c r="H39" s="327"/>
      <c r="I39" s="327"/>
      <c r="J39" s="327"/>
      <c r="K39" s="325"/>
      <c r="L39" s="325"/>
      <c r="M39" s="325"/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26"/>
      <c r="AB39" s="326"/>
      <c r="AC39" s="326"/>
      <c r="AD39" s="326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</row>
    <row r="40" spans="1:66" ht="14.25" thickBot="1" x14ac:dyDescent="0.3">
      <c r="B40" s="308" t="s">
        <v>242</v>
      </c>
      <c r="C40" s="309" t="s">
        <v>1</v>
      </c>
      <c r="D40" s="331">
        <f>D36*D24/3600/D34</f>
        <v>10.8</v>
      </c>
      <c r="E40" s="332" t="s">
        <v>240</v>
      </c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</row>
    <row r="41" spans="1:66" x14ac:dyDescent="0.25">
      <c r="K41" s="278"/>
      <c r="L41" s="278"/>
      <c r="M41" s="278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7"/>
      <c r="AC41" s="277"/>
      <c r="AD41" s="278"/>
    </row>
    <row r="42" spans="1:66" x14ac:dyDescent="0.25">
      <c r="B42" s="333"/>
      <c r="C42" s="282"/>
      <c r="D42" s="310"/>
      <c r="E42" s="334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7"/>
      <c r="AC42" s="277"/>
      <c r="AD42" s="278"/>
    </row>
    <row r="43" spans="1:66" x14ac:dyDescent="0.25">
      <c r="B43" s="333"/>
      <c r="C43" s="282"/>
      <c r="D43" s="310"/>
      <c r="E43" s="334"/>
      <c r="J43" s="278"/>
      <c r="K43" s="278"/>
      <c r="L43" s="278"/>
      <c r="M43" s="278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7"/>
      <c r="AC43" s="277"/>
      <c r="AD43" s="278"/>
    </row>
    <row r="44" spans="1:66" ht="14.25" thickBot="1" x14ac:dyDescent="0.3">
      <c r="B44" s="333"/>
      <c r="C44" s="282"/>
      <c r="D44" s="310"/>
      <c r="E44" s="334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7"/>
      <c r="AC44" s="277"/>
      <c r="AD44" s="278"/>
    </row>
    <row r="45" spans="1:66" ht="15" thickTop="1" thickBot="1" x14ac:dyDescent="0.3">
      <c r="B45" s="186" t="s">
        <v>278</v>
      </c>
      <c r="C45" s="187" t="s">
        <v>1</v>
      </c>
      <c r="D45" s="389">
        <v>55</v>
      </c>
      <c r="E45" s="334"/>
      <c r="J45" s="278"/>
      <c r="K45" s="278"/>
      <c r="L45" s="278"/>
      <c r="M45" s="278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7"/>
      <c r="AC45" s="277"/>
      <c r="AD45" s="278"/>
    </row>
    <row r="46" spans="1:66" ht="15" thickTop="1" thickBot="1" x14ac:dyDescent="0.3">
      <c r="B46" s="186" t="s">
        <v>130</v>
      </c>
      <c r="C46" s="187" t="s">
        <v>1</v>
      </c>
      <c r="D46" s="389">
        <v>130</v>
      </c>
      <c r="E46" s="334"/>
      <c r="J46" s="278"/>
      <c r="K46" s="278"/>
      <c r="L46" s="278"/>
      <c r="M46" s="278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7"/>
      <c r="AC46" s="277"/>
      <c r="AD46" s="278"/>
    </row>
    <row r="47" spans="1:66" ht="15" thickTop="1" thickBot="1" x14ac:dyDescent="0.3">
      <c r="B47" s="186" t="s">
        <v>129</v>
      </c>
      <c r="C47" s="187" t="s">
        <v>1</v>
      </c>
      <c r="D47" s="389">
        <v>0</v>
      </c>
      <c r="E47" s="334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7"/>
      <c r="AC47" s="277"/>
      <c r="AD47" s="278"/>
    </row>
    <row r="48" spans="1:66" ht="15" thickTop="1" thickBot="1" x14ac:dyDescent="0.3">
      <c r="B48" s="186" t="s">
        <v>128</v>
      </c>
      <c r="C48" s="187" t="s">
        <v>1</v>
      </c>
      <c r="D48" s="389">
        <v>4</v>
      </c>
      <c r="E48" s="334"/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7"/>
      <c r="AC48" s="277"/>
      <c r="AD48" s="278"/>
    </row>
    <row r="49" spans="2:30" ht="15" thickTop="1" thickBot="1" x14ac:dyDescent="0.3">
      <c r="B49" s="259"/>
      <c r="C49" s="259"/>
      <c r="D49" s="258"/>
      <c r="E49" s="334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7"/>
      <c r="AC49" s="277"/>
      <c r="AD49" s="278"/>
    </row>
    <row r="50" spans="2:30" ht="15" thickTop="1" thickBot="1" x14ac:dyDescent="0.3">
      <c r="B50" s="186" t="s">
        <v>248</v>
      </c>
      <c r="C50" s="260"/>
      <c r="D50" s="192">
        <f>ROUNDUP((($D$37*$D$14)/$D$45),0)</f>
        <v>2</v>
      </c>
      <c r="E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7"/>
      <c r="AC50" s="277"/>
      <c r="AD50" s="278"/>
    </row>
    <row r="51" spans="2:30" ht="15" thickTop="1" thickBot="1" x14ac:dyDescent="0.3">
      <c r="B51" s="186" t="s">
        <v>249</v>
      </c>
      <c r="C51" s="187" t="s">
        <v>1</v>
      </c>
      <c r="D51" s="389">
        <v>2</v>
      </c>
      <c r="E51" s="311"/>
      <c r="J51" s="278"/>
      <c r="K51" s="278"/>
      <c r="L51" s="278"/>
      <c r="M51" s="278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7"/>
      <c r="AC51" s="277"/>
      <c r="AD51" s="278"/>
    </row>
    <row r="52" spans="2:30" ht="15" thickTop="1" thickBot="1" x14ac:dyDescent="0.3">
      <c r="B52" s="186" t="s">
        <v>137</v>
      </c>
      <c r="C52" s="187" t="s">
        <v>1</v>
      </c>
      <c r="D52" s="192" t="str">
        <f>+IF(D39&lt;1.5,"1¨",(IF(AND(D39&gt;1.5,D39&lt;2.5),"1,5¨",(IF(AND(D39&gt;2.5,D39&lt;4),"2¨","3¨")))))</f>
        <v>1¨</v>
      </c>
      <c r="E52" s="311"/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7"/>
      <c r="AC52" s="277"/>
      <c r="AD52" s="278"/>
    </row>
    <row r="53" spans="2:30" ht="14.25" thickTop="1" x14ac:dyDescent="0.25">
      <c r="B53" s="282"/>
      <c r="C53" s="282"/>
      <c r="D53" s="312"/>
      <c r="E53" s="313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7"/>
      <c r="AC53" s="277"/>
      <c r="AD53" s="278"/>
    </row>
    <row r="54" spans="2:30" hidden="1" x14ac:dyDescent="0.25">
      <c r="D54" s="360">
        <f>((($D$37*$D$14)/$D$45))</f>
        <v>1.7454545454545454</v>
      </c>
      <c r="J54" s="278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</row>
    <row r="55" spans="2:30" x14ac:dyDescent="0.25"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</row>
    <row r="56" spans="2:30" x14ac:dyDescent="0.25"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</row>
    <row r="57" spans="2:30" x14ac:dyDescent="0.25">
      <c r="J57" s="278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</row>
    <row r="58" spans="2:30" ht="14.25" thickBot="1" x14ac:dyDescent="0.3">
      <c r="C58" s="367"/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</row>
    <row r="59" spans="2:30" ht="15" thickTop="1" thickBot="1" x14ac:dyDescent="0.3">
      <c r="B59" s="363" t="s">
        <v>247</v>
      </c>
      <c r="C59" s="368" t="s">
        <v>1</v>
      </c>
      <c r="D59" s="365">
        <f>+D39</f>
        <v>1.2</v>
      </c>
      <c r="E59" s="361" t="s">
        <v>25</v>
      </c>
      <c r="I59" s="467" t="str">
        <f>+IF(D59&lt;=6,"Es posible la estimación","No es posible la estimación")</f>
        <v>Es posible la estimación</v>
      </c>
      <c r="J59" s="467"/>
      <c r="K59" s="467"/>
      <c r="L59" s="467"/>
      <c r="M59" s="467"/>
      <c r="N59" s="467"/>
      <c r="O59" s="467"/>
      <c r="P59" s="467"/>
      <c r="Q59" s="278"/>
      <c r="R59" s="278"/>
      <c r="S59" s="278"/>
      <c r="T59" s="278"/>
      <c r="U59" s="278"/>
      <c r="V59" s="278"/>
      <c r="W59" s="278"/>
    </row>
    <row r="60" spans="2:30" ht="15" thickTop="1" thickBot="1" x14ac:dyDescent="0.3">
      <c r="B60" s="364" t="s">
        <v>35</v>
      </c>
      <c r="C60" s="338" t="s">
        <v>1</v>
      </c>
      <c r="D60" s="366">
        <f>(D23*1.2+D47*0.02+0.02*D46+3+5+D48)*1.05</f>
        <v>40.53</v>
      </c>
      <c r="E60" s="362" t="s">
        <v>17</v>
      </c>
      <c r="I60" s="467"/>
      <c r="J60" s="467"/>
      <c r="K60" s="467"/>
      <c r="L60" s="467"/>
      <c r="M60" s="467"/>
      <c r="N60" s="467"/>
      <c r="O60" s="467"/>
      <c r="P60" s="467"/>
      <c r="Q60" s="278"/>
      <c r="R60" s="278"/>
      <c r="S60" s="278"/>
      <c r="T60" s="278"/>
      <c r="U60" s="278"/>
      <c r="V60" s="278"/>
      <c r="W60" s="278"/>
    </row>
    <row r="61" spans="2:30" ht="15" thickTop="1" thickBot="1" x14ac:dyDescent="0.3">
      <c r="B61" s="364" t="s">
        <v>216</v>
      </c>
      <c r="C61" s="338" t="s">
        <v>1</v>
      </c>
      <c r="D61" s="369">
        <f>(1.1*D59*60*D60*100/4500/65)</f>
        <v>1.0974276923076924</v>
      </c>
      <c r="E61" s="362" t="s">
        <v>219</v>
      </c>
      <c r="I61" s="467"/>
      <c r="J61" s="467"/>
      <c r="K61" s="467"/>
      <c r="L61" s="467"/>
      <c r="M61" s="467"/>
      <c r="N61" s="467"/>
      <c r="O61" s="467"/>
      <c r="P61" s="467"/>
      <c r="Q61" s="278"/>
      <c r="R61" s="278"/>
      <c r="S61" s="278"/>
      <c r="T61" s="278"/>
      <c r="U61" s="278"/>
      <c r="V61" s="278"/>
      <c r="W61" s="278"/>
    </row>
    <row r="62" spans="2:30" ht="15" thickTop="1" thickBot="1" x14ac:dyDescent="0.3">
      <c r="B62" s="364" t="s">
        <v>36</v>
      </c>
      <c r="C62" s="338" t="s">
        <v>1</v>
      </c>
      <c r="D62" s="410">
        <v>1.5</v>
      </c>
      <c r="E62" s="183" t="s">
        <v>219</v>
      </c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</row>
    <row r="63" spans="2:30" ht="14.25" thickTop="1" x14ac:dyDescent="0.25">
      <c r="J63" s="278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</row>
    <row r="64" spans="2:30" x14ac:dyDescent="0.25"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</row>
    <row r="65" spans="10:24" x14ac:dyDescent="0.25"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</row>
    <row r="66" spans="10:24" x14ac:dyDescent="0.25"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</row>
    <row r="67" spans="10:24" x14ac:dyDescent="0.25"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</row>
    <row r="68" spans="10:24" hidden="1" x14ac:dyDescent="0.25">
      <c r="J68" s="278"/>
      <c r="K68" s="278"/>
      <c r="L68" s="1">
        <f>IF(ETP!D8&gt;0,ETP!D7/ETP!D8,0)</f>
        <v>5.9</v>
      </c>
      <c r="M68" s="1">
        <f>IF(ETP!E8&gt;0,ETP!E7/ETP!E8,0)</f>
        <v>5.1817241379310346</v>
      </c>
      <c r="N68" s="1">
        <f>IF(ETP!F8&gt;0,ETP!F7/ETP!F8,0)</f>
        <v>4.3000000000000007</v>
      </c>
      <c r="O68" s="1">
        <f>IF(ETP!G8&gt;0,ETP!G7/ETP!G8,0)</f>
        <v>3.1</v>
      </c>
      <c r="P68" s="1">
        <f>IF(ETP!H8&gt;0,ETP!H7/ETP!H8,0)</f>
        <v>0</v>
      </c>
      <c r="Q68" s="1">
        <f>IF(ETP!I8&gt;0,ETP!I7/ETP!I8,0)</f>
        <v>0</v>
      </c>
      <c r="R68" s="1">
        <f>IF(ETP!J8&gt;0,ETP!J7/ETP!J8,0)</f>
        <v>0</v>
      </c>
      <c r="S68" s="1">
        <f>IF(ETP!K8&gt;0,ETP!K7/ETP!K8,0)</f>
        <v>0</v>
      </c>
      <c r="T68" s="1">
        <f>IF(ETP!L8&gt;0,ETP!L7/ETP!L8,0)</f>
        <v>2.8</v>
      </c>
      <c r="U68" s="1">
        <f>IF(ETP!M8&gt;0,ETP!M7/ETP!M8,0)</f>
        <v>3.9000000000000004</v>
      </c>
      <c r="V68" s="1">
        <f>IF(ETP!N8&gt;0,ETP!N7/ETP!N8,0)</f>
        <v>5</v>
      </c>
      <c r="W68" s="1">
        <f>IF(ETP!O8&gt;0,ETP!O7/ETP!O8,0)</f>
        <v>5.8000000000000007</v>
      </c>
      <c r="X68" s="1"/>
    </row>
    <row r="69" spans="10:24" hidden="1" x14ac:dyDescent="0.25">
      <c r="J69" s="278"/>
      <c r="K69" s="278"/>
      <c r="L69" s="278">
        <f>+L68*$D$16/($D$19/100)</f>
        <v>7.8666666666666671</v>
      </c>
      <c r="M69" s="278">
        <f t="shared" ref="M69:W69" si="0">+M68*$D$16/($D$19/100)</f>
        <v>6.9089655172413798</v>
      </c>
      <c r="N69" s="278">
        <f t="shared" si="0"/>
        <v>5.7333333333333343</v>
      </c>
      <c r="O69" s="278">
        <f t="shared" si="0"/>
        <v>4.1333333333333337</v>
      </c>
      <c r="P69" s="278">
        <f t="shared" si="0"/>
        <v>0</v>
      </c>
      <c r="Q69" s="278">
        <f t="shared" si="0"/>
        <v>0</v>
      </c>
      <c r="R69" s="278">
        <f t="shared" si="0"/>
        <v>0</v>
      </c>
      <c r="S69" s="278">
        <f t="shared" si="0"/>
        <v>0</v>
      </c>
      <c r="T69" s="278">
        <f t="shared" si="0"/>
        <v>3.7333333333333329</v>
      </c>
      <c r="U69" s="278">
        <f t="shared" si="0"/>
        <v>5.2</v>
      </c>
      <c r="V69" s="278">
        <f t="shared" si="0"/>
        <v>6.666666666666667</v>
      </c>
      <c r="W69" s="278">
        <f t="shared" si="0"/>
        <v>7.7333333333333343</v>
      </c>
    </row>
    <row r="70" spans="10:24" hidden="1" x14ac:dyDescent="0.25">
      <c r="J70" s="278"/>
      <c r="K70" s="278"/>
      <c r="L70" s="278">
        <f>+$D$29*L69</f>
        <v>31.466666666666669</v>
      </c>
      <c r="M70" s="278">
        <f t="shared" ref="M70:W70" si="1">+$D$29*M69</f>
        <v>27.635862068965519</v>
      </c>
      <c r="N70" s="278">
        <f t="shared" si="1"/>
        <v>22.933333333333337</v>
      </c>
      <c r="O70" s="278">
        <f t="shared" si="1"/>
        <v>16.533333333333335</v>
      </c>
      <c r="P70" s="278">
        <f t="shared" si="1"/>
        <v>0</v>
      </c>
      <c r="Q70" s="278">
        <f t="shared" si="1"/>
        <v>0</v>
      </c>
      <c r="R70" s="278">
        <f t="shared" si="1"/>
        <v>0</v>
      </c>
      <c r="S70" s="278">
        <f t="shared" si="1"/>
        <v>0</v>
      </c>
      <c r="T70" s="278">
        <f t="shared" si="1"/>
        <v>14.933333333333332</v>
      </c>
      <c r="U70" s="278">
        <f t="shared" si="1"/>
        <v>20.8</v>
      </c>
      <c r="V70" s="278">
        <f t="shared" si="1"/>
        <v>26.666666666666668</v>
      </c>
      <c r="W70" s="278">
        <f t="shared" si="1"/>
        <v>30.933333333333337</v>
      </c>
    </row>
    <row r="71" spans="10:24" hidden="1" x14ac:dyDescent="0.25">
      <c r="J71" s="278"/>
      <c r="K71" s="278"/>
      <c r="L71" s="278">
        <f>+$D$30*L70/$D$26/10</f>
        <v>16.782222222222224</v>
      </c>
      <c r="M71" s="278">
        <f t="shared" ref="M71:W71" si="2">+$D$30*M70/$D$26/10</f>
        <v>14.739126436781609</v>
      </c>
      <c r="N71" s="278">
        <f t="shared" si="2"/>
        <v>12.231111111111113</v>
      </c>
      <c r="O71" s="278">
        <f t="shared" si="2"/>
        <v>8.8177777777777795</v>
      </c>
      <c r="P71" s="278">
        <f t="shared" si="2"/>
        <v>0</v>
      </c>
      <c r="Q71" s="278">
        <f t="shared" si="2"/>
        <v>0</v>
      </c>
      <c r="R71" s="278">
        <f t="shared" si="2"/>
        <v>0</v>
      </c>
      <c r="S71" s="278">
        <f t="shared" si="2"/>
        <v>0</v>
      </c>
      <c r="T71" s="278">
        <f t="shared" si="2"/>
        <v>7.9644444444444433</v>
      </c>
      <c r="U71" s="278">
        <f t="shared" si="2"/>
        <v>11.093333333333334</v>
      </c>
      <c r="V71" s="278">
        <f t="shared" si="2"/>
        <v>14.222222222222223</v>
      </c>
      <c r="W71" s="278">
        <f t="shared" si="2"/>
        <v>16.497777777777777</v>
      </c>
    </row>
    <row r="72" spans="10:24" hidden="1" x14ac:dyDescent="0.25">
      <c r="L72" s="276">
        <f>+ETP!D8*$D$39*3.6*L71</f>
        <v>2247.4751999999999</v>
      </c>
      <c r="M72" s="276">
        <f>+ETP!E8*$D$39*3.6*M71</f>
        <v>1846.5177599999997</v>
      </c>
      <c r="N72" s="276">
        <f>+ETP!F8*$D$39*3.6*N71</f>
        <v>1637.9904000000001</v>
      </c>
      <c r="O72" s="276">
        <f>+ETP!G8*$D$39*3.6*O71</f>
        <v>1142.7840000000001</v>
      </c>
      <c r="P72" s="276">
        <f>+ETP!H8*$D$39*3.6*P71</f>
        <v>0</v>
      </c>
      <c r="Q72" s="276">
        <f>+ETP!I8*$D$39*3.6*Q71</f>
        <v>0</v>
      </c>
      <c r="R72" s="276">
        <f>+ETP!J8*$D$39*3.6*R71</f>
        <v>0</v>
      </c>
      <c r="S72" s="276">
        <f>+ETP!K8*$D$39*3.6*S71</f>
        <v>0</v>
      </c>
      <c r="T72" s="276">
        <f>+ETP!L8*$D$39*3.6*T71</f>
        <v>1032.1919999999998</v>
      </c>
      <c r="U72" s="276">
        <f>+ETP!M8*$D$39*3.6*U71</f>
        <v>1485.6191999999999</v>
      </c>
      <c r="V72" s="276">
        <f>+ETP!N8*$D$39*3.6*V71</f>
        <v>1843.2</v>
      </c>
      <c r="W72" s="276">
        <f>+ETP!O8*$D$39*3.6*W71</f>
        <v>2209.3824</v>
      </c>
    </row>
    <row r="73" spans="10:24" hidden="1" x14ac:dyDescent="0.25">
      <c r="L73" s="276">
        <f>SUM(L72:W72)</f>
        <v>13445.160960000001</v>
      </c>
      <c r="O73" s="278"/>
      <c r="P73" s="278"/>
      <c r="Q73" s="278"/>
      <c r="R73" s="278"/>
      <c r="S73" s="278"/>
      <c r="T73" s="278"/>
      <c r="U73" s="278"/>
      <c r="V73" s="278"/>
      <c r="W73" s="278"/>
    </row>
    <row r="74" spans="10:24" x14ac:dyDescent="0.25">
      <c r="O74" s="278"/>
      <c r="P74" s="278"/>
      <c r="Q74" s="278"/>
      <c r="R74" s="278"/>
      <c r="S74" s="278"/>
      <c r="T74" s="278"/>
      <c r="U74" s="278"/>
      <c r="V74" s="278"/>
      <c r="W74" s="278"/>
    </row>
    <row r="75" spans="10:24" x14ac:dyDescent="0.25">
      <c r="P75" s="278"/>
      <c r="Q75" s="278"/>
      <c r="R75" s="278"/>
      <c r="S75" s="278"/>
      <c r="T75" s="278"/>
      <c r="U75" s="278"/>
      <c r="V75" s="278"/>
      <c r="W75" s="278"/>
    </row>
  </sheetData>
  <sheetProtection password="D4A7" sheet="1" objects="1" scenarios="1"/>
  <mergeCells count="13">
    <mergeCell ref="I59:P61"/>
    <mergeCell ref="D11:E11"/>
    <mergeCell ref="D12:E12"/>
    <mergeCell ref="D25:E25"/>
    <mergeCell ref="H25:J25"/>
    <mergeCell ref="P27:AA27"/>
    <mergeCell ref="L16:M16"/>
    <mergeCell ref="L17:M20"/>
    <mergeCell ref="H26:J26"/>
    <mergeCell ref="P16:Q16"/>
    <mergeCell ref="P17:Q20"/>
    <mergeCell ref="P24:Q24"/>
    <mergeCell ref="P25:Q26"/>
  </mergeCells>
  <dataValidations disablePrompts="1" count="2">
    <dataValidation type="list" allowBlank="1" showInputMessage="1" showErrorMessage="1" sqref="D12:E12" xr:uid="{00000000-0002-0000-0300-000000000000}">
      <formula1>"6 x 6,12 x 12,18 x 18,24 x 24"</formula1>
    </dataValidation>
    <dataValidation type="list" allowBlank="1" showInputMessage="1" showErrorMessage="1" sqref="D7" xr:uid="{00000000-0002-0000-0300-000001000000}">
      <formula1>"Cobertura total,Posturas móviles"</formula1>
    </dataValidation>
  </dataValidations>
  <pageMargins left="0.7" right="0.18" top="0.95" bottom="1" header="0.511811024" footer="0.511811024"/>
  <pageSetup paperSize="9" orientation="portrait" horizontalDpi="4294967295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B135"/>
  <sheetViews>
    <sheetView zoomScale="70" zoomScaleNormal="70" workbookViewId="0">
      <selection activeCell="E37" sqref="E37 H31:H32"/>
    </sheetView>
  </sheetViews>
  <sheetFormatPr baseColWidth="10" defaultRowHeight="15" x14ac:dyDescent="0.25"/>
  <cols>
    <col min="1" max="1" width="15.5703125" style="194" bestFit="1" customWidth="1"/>
    <col min="2" max="2" width="44.5703125" style="194" bestFit="1" customWidth="1"/>
    <col min="3" max="3" width="19.42578125" style="194" bestFit="1" customWidth="1"/>
    <col min="4" max="4" width="18.42578125" style="194" bestFit="1" customWidth="1"/>
    <col min="5" max="5" width="16.5703125" style="194" bestFit="1" customWidth="1"/>
    <col min="6" max="6" width="10" style="194" customWidth="1"/>
    <col min="7" max="7" width="16.28515625" style="194" customWidth="1"/>
    <col min="8" max="8" width="13.42578125" style="194" bestFit="1" customWidth="1"/>
    <col min="9" max="10" width="13.5703125" style="194" bestFit="1" customWidth="1"/>
    <col min="11" max="11" width="19.140625" style="194" bestFit="1" customWidth="1"/>
    <col min="12" max="16" width="12.7109375" style="194" bestFit="1" customWidth="1"/>
    <col min="17" max="17" width="13.42578125" style="194" bestFit="1" customWidth="1"/>
    <col min="18" max="18" width="13.42578125" style="194" customWidth="1"/>
    <col min="19" max="26" width="11.42578125" style="194"/>
    <col min="27" max="28" width="11.42578125" style="194" hidden="1" customWidth="1"/>
    <col min="29" max="16384" width="11.42578125" style="194"/>
  </cols>
  <sheetData>
    <row r="1" spans="1:28" ht="15.75" thickTop="1" x14ac:dyDescent="0.25">
      <c r="I1" s="247" t="s">
        <v>193</v>
      </c>
    </row>
    <row r="2" spans="1:28" ht="15.75" thickBot="1" x14ac:dyDescent="0.3">
      <c r="B2" s="478" t="s">
        <v>190</v>
      </c>
      <c r="C2" s="479"/>
      <c r="D2" s="503" t="s">
        <v>276</v>
      </c>
      <c r="E2" s="480"/>
      <c r="F2" s="480"/>
      <c r="I2" s="248" t="str">
        <f>+ETP!E12</f>
        <v>Enero</v>
      </c>
      <c r="K2" s="474" t="s">
        <v>225</v>
      </c>
      <c r="L2" s="475"/>
      <c r="M2" s="475"/>
    </row>
    <row r="3" spans="1:28" ht="15.75" thickTop="1" x14ac:dyDescent="0.25">
      <c r="B3" s="478" t="s">
        <v>262</v>
      </c>
      <c r="C3" s="479"/>
      <c r="D3" s="480" t="s">
        <v>277</v>
      </c>
      <c r="E3" s="480"/>
      <c r="F3" s="480"/>
      <c r="K3" s="475"/>
      <c r="L3" s="475"/>
      <c r="M3" s="475"/>
    </row>
    <row r="5" spans="1:28" x14ac:dyDescent="0.25">
      <c r="A5" s="214"/>
      <c r="B5" s="505" t="s">
        <v>212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</row>
    <row r="6" spans="1:28" x14ac:dyDescent="0.25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</row>
    <row r="7" spans="1:28" x14ac:dyDescent="0.25">
      <c r="B7" s="198"/>
      <c r="C7" s="198" t="s">
        <v>141</v>
      </c>
      <c r="D7" s="198" t="s">
        <v>142</v>
      </c>
      <c r="E7" s="198" t="s">
        <v>143</v>
      </c>
      <c r="F7" s="198" t="s">
        <v>144</v>
      </c>
      <c r="G7" s="198" t="s">
        <v>145</v>
      </c>
      <c r="H7" s="198" t="s">
        <v>146</v>
      </c>
      <c r="I7" s="198" t="s">
        <v>147</v>
      </c>
      <c r="J7" s="198" t="s">
        <v>148</v>
      </c>
      <c r="K7" s="198" t="s">
        <v>149</v>
      </c>
      <c r="L7" s="198" t="s">
        <v>150</v>
      </c>
      <c r="M7" s="198" t="s">
        <v>151</v>
      </c>
      <c r="N7" s="198" t="s">
        <v>152</v>
      </c>
      <c r="O7" s="198" t="s">
        <v>153</v>
      </c>
      <c r="P7" s="198" t="s">
        <v>154</v>
      </c>
      <c r="Q7" s="204" t="s">
        <v>214</v>
      </c>
      <c r="R7" s="204" t="s">
        <v>211</v>
      </c>
    </row>
    <row r="8" spans="1:28" x14ac:dyDescent="0.25">
      <c r="B8" s="198" t="s">
        <v>155</v>
      </c>
      <c r="C8" s="411">
        <v>2.737964156186636E-3</v>
      </c>
      <c r="D8" s="411">
        <v>3.798304806234247E-2</v>
      </c>
      <c r="E8" s="411">
        <v>0.1763800169184718</v>
      </c>
      <c r="F8" s="411">
        <v>0.36498931305897431</v>
      </c>
      <c r="G8" s="411">
        <v>0.53727961089086496</v>
      </c>
      <c r="H8" s="411">
        <v>0.64771912047208968</v>
      </c>
      <c r="I8" s="411">
        <v>0.71685984109259127</v>
      </c>
      <c r="J8" s="411">
        <v>0.72799107818669229</v>
      </c>
      <c r="K8" s="411">
        <v>0.69475877456803126</v>
      </c>
      <c r="L8" s="411">
        <v>0.61810615983790229</v>
      </c>
      <c r="M8" s="411">
        <v>0.49862271810066489</v>
      </c>
      <c r="N8" s="411">
        <v>0.33097078746124448</v>
      </c>
      <c r="O8" s="411">
        <v>0.13782471584803899</v>
      </c>
      <c r="P8" s="411">
        <v>2.6865319134250529E-2</v>
      </c>
      <c r="Q8" s="203">
        <f t="shared" ref="Q8:Q19" si="0">SUM(C8:P8)*(100-$C$129)/100</f>
        <v>5.5190884677883458</v>
      </c>
      <c r="R8" s="203">
        <f>SUM(C8:P8)*$C$104</f>
        <v>171.09174250143872</v>
      </c>
    </row>
    <row r="9" spans="1:28" x14ac:dyDescent="0.25">
      <c r="B9" s="198" t="s">
        <v>156</v>
      </c>
      <c r="C9" s="411">
        <v>0</v>
      </c>
      <c r="D9" s="411">
        <v>2.2343218472891391E-2</v>
      </c>
      <c r="E9" s="411">
        <v>0.14663900629267621</v>
      </c>
      <c r="F9" s="411">
        <v>0.33478827518365578</v>
      </c>
      <c r="G9" s="411">
        <v>0.51026167429785807</v>
      </c>
      <c r="H9" s="411">
        <v>0.62573341869225363</v>
      </c>
      <c r="I9" s="411">
        <v>0.70768760476496806</v>
      </c>
      <c r="J9" s="411">
        <v>0.73798381815418623</v>
      </c>
      <c r="K9" s="411">
        <v>0.70829725835811164</v>
      </c>
      <c r="L9" s="411">
        <v>0.62717080739125242</v>
      </c>
      <c r="M9" s="411">
        <v>0.50487050752962592</v>
      </c>
      <c r="N9" s="411">
        <v>0.3401499495821193</v>
      </c>
      <c r="O9" s="411">
        <v>0.14188681144668319</v>
      </c>
      <c r="P9" s="411">
        <v>1.7486387000433659E-2</v>
      </c>
      <c r="Q9" s="203">
        <f t="shared" si="0"/>
        <v>5.4252987371667158</v>
      </c>
      <c r="R9" s="203">
        <f>SUM(C9:P9)*$D$104</f>
        <v>157.33366337783474</v>
      </c>
    </row>
    <row r="10" spans="1:28" x14ac:dyDescent="0.25">
      <c r="B10" s="198" t="s">
        <v>158</v>
      </c>
      <c r="C10" s="411">
        <v>0</v>
      </c>
      <c r="D10" s="411">
        <v>6.2252192692975623E-3</v>
      </c>
      <c r="E10" s="411">
        <v>0.16692589833951069</v>
      </c>
      <c r="F10" s="411">
        <v>0.3250243010886828</v>
      </c>
      <c r="G10" s="411">
        <v>0.48662268637399991</v>
      </c>
      <c r="H10" s="411">
        <v>0.60416256826357662</v>
      </c>
      <c r="I10" s="411">
        <v>0.67439850690750358</v>
      </c>
      <c r="J10" s="411">
        <v>0.7013234595597061</v>
      </c>
      <c r="K10" s="411">
        <v>0.67413529112960646</v>
      </c>
      <c r="L10" s="411">
        <v>0.59151128935682928</v>
      </c>
      <c r="M10" s="411">
        <v>0.47039474616657567</v>
      </c>
      <c r="N10" s="411">
        <v>0.30190977597957791</v>
      </c>
      <c r="O10" s="411">
        <v>0.10619121522764149</v>
      </c>
      <c r="P10" s="411">
        <v>1.0416637986872381E-3</v>
      </c>
      <c r="Q10" s="203">
        <f t="shared" si="0"/>
        <v>5.1098666214611947</v>
      </c>
      <c r="R10" s="203">
        <f>SUM(C10:P10)*$E$104</f>
        <v>158.40586526529702</v>
      </c>
    </row>
    <row r="11" spans="1:28" x14ac:dyDescent="0.25">
      <c r="B11" s="198" t="s">
        <v>162</v>
      </c>
      <c r="C11" s="411">
        <v>0</v>
      </c>
      <c r="D11" s="411">
        <v>0</v>
      </c>
      <c r="E11" s="411">
        <v>0.15411826320635011</v>
      </c>
      <c r="F11" s="411">
        <v>0.28729293813333462</v>
      </c>
      <c r="G11" s="411">
        <v>0.41626614872037832</v>
      </c>
      <c r="H11" s="411">
        <v>0.51287403261132736</v>
      </c>
      <c r="I11" s="411">
        <v>0.58596146214177358</v>
      </c>
      <c r="J11" s="411">
        <v>0.59261263396290953</v>
      </c>
      <c r="K11" s="411">
        <v>0.56556890919778369</v>
      </c>
      <c r="L11" s="411">
        <v>0.49418505631668658</v>
      </c>
      <c r="M11" s="411">
        <v>0.38174100008100359</v>
      </c>
      <c r="N11" s="411">
        <v>0.21027204242904471</v>
      </c>
      <c r="O11" s="411">
        <v>1.4216775718134291E-2</v>
      </c>
      <c r="P11" s="411">
        <v>0</v>
      </c>
      <c r="Q11" s="203">
        <f t="shared" si="0"/>
        <v>4.2151092625187268</v>
      </c>
      <c r="R11" s="203">
        <f>SUM(C11:P11)*$F$104</f>
        <v>126.45327787556181</v>
      </c>
    </row>
    <row r="12" spans="1:28" x14ac:dyDescent="0.25">
      <c r="B12" s="198" t="s">
        <v>164</v>
      </c>
      <c r="C12" s="411">
        <v>0</v>
      </c>
      <c r="D12" s="411">
        <v>0</v>
      </c>
      <c r="E12" s="411">
        <v>9.3212116115078819E-2</v>
      </c>
      <c r="F12" s="411">
        <v>0.19693019938383699</v>
      </c>
      <c r="G12" s="411">
        <v>0.31660572423413869</v>
      </c>
      <c r="H12" s="411">
        <v>0.39771251236853189</v>
      </c>
      <c r="I12" s="411">
        <v>0.45416767133287311</v>
      </c>
      <c r="J12" s="411">
        <v>0.47772380595757802</v>
      </c>
      <c r="K12" s="411">
        <v>0.44792804874099718</v>
      </c>
      <c r="L12" s="411">
        <v>0.38253302837315872</v>
      </c>
      <c r="M12" s="411">
        <v>0.31428514709475358</v>
      </c>
      <c r="N12" s="411">
        <v>0.1681627300234648</v>
      </c>
      <c r="O12" s="411">
        <v>0</v>
      </c>
      <c r="P12" s="411">
        <v>0</v>
      </c>
      <c r="Q12" s="203">
        <f t="shared" si="0"/>
        <v>3.2492609836244117</v>
      </c>
      <c r="R12" s="203">
        <f>SUM(C12:P12)*$G$104</f>
        <v>100.72709049235677</v>
      </c>
    </row>
    <row r="13" spans="1:28" x14ac:dyDescent="0.25">
      <c r="B13" s="198" t="s">
        <v>165</v>
      </c>
      <c r="C13" s="411">
        <v>0</v>
      </c>
      <c r="D13" s="411">
        <v>0</v>
      </c>
      <c r="E13" s="411">
        <v>1.4100433585736391E-2</v>
      </c>
      <c r="F13" s="411">
        <v>0.26479289592206029</v>
      </c>
      <c r="G13" s="411">
        <v>0.27741654238654551</v>
      </c>
      <c r="H13" s="411">
        <v>0.37388731251996932</v>
      </c>
      <c r="I13" s="411">
        <v>0.4206463756723906</v>
      </c>
      <c r="J13" s="411">
        <v>0.44249944709345018</v>
      </c>
      <c r="K13" s="411">
        <v>0.41163890797566888</v>
      </c>
      <c r="L13" s="411">
        <v>0.34457446001744357</v>
      </c>
      <c r="M13" s="411">
        <v>0.30431443998680252</v>
      </c>
      <c r="N13" s="411">
        <v>0.15029881279225499</v>
      </c>
      <c r="O13" s="411">
        <v>0</v>
      </c>
      <c r="P13" s="411">
        <v>0</v>
      </c>
      <c r="Q13" s="203">
        <f t="shared" si="0"/>
        <v>3.0041696279523222</v>
      </c>
      <c r="R13" s="203">
        <f>SUM(C13:P13)*$H$104</f>
        <v>90.125088838569667</v>
      </c>
      <c r="AA13" s="194">
        <f>+HLOOKUP($I$2,$B$103:$N$113,7,0)</f>
        <v>14.561224487304687</v>
      </c>
      <c r="AB13" s="194">
        <f>+VLOOKUP($I$2,$B$8:$R$19,16,0)</f>
        <v>5.5190884677883458</v>
      </c>
    </row>
    <row r="14" spans="1:28" x14ac:dyDescent="0.25">
      <c r="B14" s="198" t="s">
        <v>166</v>
      </c>
      <c r="C14" s="411">
        <v>0</v>
      </c>
      <c r="D14" s="411">
        <v>0</v>
      </c>
      <c r="E14" s="411">
        <v>2.1421182298949369E-2</v>
      </c>
      <c r="F14" s="411">
        <v>0.2451099780567782</v>
      </c>
      <c r="G14" s="411">
        <v>0.2966703808135</v>
      </c>
      <c r="H14" s="411">
        <v>0.38231324009908291</v>
      </c>
      <c r="I14" s="411">
        <v>0.4285444264021071</v>
      </c>
      <c r="J14" s="411">
        <v>0.44791083892117678</v>
      </c>
      <c r="K14" s="411">
        <v>0.42668528737006239</v>
      </c>
      <c r="L14" s="411">
        <v>0.3593013185589779</v>
      </c>
      <c r="M14" s="411">
        <v>0.30569235386701399</v>
      </c>
      <c r="N14" s="411">
        <v>0.1890234421164016</v>
      </c>
      <c r="O14" s="411">
        <v>0</v>
      </c>
      <c r="P14" s="411">
        <v>0</v>
      </c>
      <c r="Q14" s="203">
        <f t="shared" si="0"/>
        <v>3.10267244850405</v>
      </c>
      <c r="R14" s="203">
        <f>SUM(C14:P14)*$I$104</f>
        <v>96.182845903625548</v>
      </c>
    </row>
    <row r="15" spans="1:28" x14ac:dyDescent="0.25">
      <c r="B15" s="198" t="s">
        <v>167</v>
      </c>
      <c r="C15" s="411">
        <v>0</v>
      </c>
      <c r="D15" s="411">
        <v>0</v>
      </c>
      <c r="E15" s="411">
        <v>0.1115174388889501</v>
      </c>
      <c r="F15" s="411">
        <v>0.23378671756100819</v>
      </c>
      <c r="G15" s="411">
        <v>0.34134098774967198</v>
      </c>
      <c r="H15" s="411">
        <v>0.42190168225916469</v>
      </c>
      <c r="I15" s="411">
        <v>0.47614811267664842</v>
      </c>
      <c r="J15" s="411">
        <v>0.50405083420682983</v>
      </c>
      <c r="K15" s="411">
        <v>0.47552945314318629</v>
      </c>
      <c r="L15" s="411">
        <v>0.40417442702586431</v>
      </c>
      <c r="M15" s="411">
        <v>0.31755160838776858</v>
      </c>
      <c r="N15" s="411">
        <v>0.1764897955644194</v>
      </c>
      <c r="O15" s="411">
        <v>3.590867752554724E-3</v>
      </c>
      <c r="P15" s="411">
        <v>0</v>
      </c>
      <c r="Q15" s="203">
        <f t="shared" si="0"/>
        <v>3.466081925216066</v>
      </c>
      <c r="R15" s="203">
        <f>SUM(C15:P15)*$J$104</f>
        <v>107.44853968169807</v>
      </c>
      <c r="AB15" s="202">
        <f>+AB13-Q15</f>
        <v>2.0530065425722799</v>
      </c>
    </row>
    <row r="16" spans="1:28" x14ac:dyDescent="0.25">
      <c r="B16" s="198" t="s">
        <v>169</v>
      </c>
      <c r="C16" s="411">
        <v>0</v>
      </c>
      <c r="D16" s="411">
        <v>1.5698882959768231E-2</v>
      </c>
      <c r="E16" s="411">
        <v>0.1878905615920301</v>
      </c>
      <c r="F16" s="411">
        <v>0.32480686831719668</v>
      </c>
      <c r="G16" s="411">
        <v>0.4318950139194328</v>
      </c>
      <c r="H16" s="411">
        <v>0.52080559012941618</v>
      </c>
      <c r="I16" s="411">
        <v>0.5771734669117029</v>
      </c>
      <c r="J16" s="411">
        <v>0.59002718287840106</v>
      </c>
      <c r="K16" s="411">
        <v>0.55284504957563352</v>
      </c>
      <c r="L16" s="411">
        <v>0.46937908885087531</v>
      </c>
      <c r="M16" s="411">
        <v>0.36186668588359511</v>
      </c>
      <c r="N16" s="411">
        <v>0.19809284790266499</v>
      </c>
      <c r="O16" s="411">
        <v>3.6181664612603061E-2</v>
      </c>
      <c r="P16" s="411">
        <v>0</v>
      </c>
      <c r="Q16" s="203">
        <f t="shared" si="0"/>
        <v>4.2666629035333203</v>
      </c>
      <c r="R16" s="203">
        <f>SUM(C16:P16)*$K$104</f>
        <v>127.9998871059996</v>
      </c>
    </row>
    <row r="17" spans="1:18" x14ac:dyDescent="0.25">
      <c r="B17" s="198" t="s">
        <v>171</v>
      </c>
      <c r="C17" s="411">
        <v>5.9198846291099003E-4</v>
      </c>
      <c r="D17" s="411">
        <v>5.9618420372087651E-2</v>
      </c>
      <c r="E17" s="411">
        <v>0.19504412425027129</v>
      </c>
      <c r="F17" s="411">
        <v>0.35889673178509057</v>
      </c>
      <c r="G17" s="411">
        <v>0.5015465993937045</v>
      </c>
      <c r="H17" s="411">
        <v>0.59078957172590829</v>
      </c>
      <c r="I17" s="411">
        <v>0.64336730226975858</v>
      </c>
      <c r="J17" s="411">
        <v>0.65159679369886203</v>
      </c>
      <c r="K17" s="411">
        <v>0.59929236440891698</v>
      </c>
      <c r="L17" s="411">
        <v>0.5053433171458509</v>
      </c>
      <c r="M17" s="411">
        <v>0.38072083651047162</v>
      </c>
      <c r="N17" s="411">
        <v>0.22043951202514819</v>
      </c>
      <c r="O17" s="411">
        <v>5.9014593303331697E-2</v>
      </c>
      <c r="P17" s="411">
        <v>1.6455491370221161E-5</v>
      </c>
      <c r="Q17" s="203">
        <f t="shared" si="0"/>
        <v>4.7662786108436839</v>
      </c>
      <c r="R17" s="203">
        <f>SUM(C17:P17)*$L$104</f>
        <v>147.75463693615421</v>
      </c>
    </row>
    <row r="18" spans="1:18" x14ac:dyDescent="0.25">
      <c r="B18" s="198" t="s">
        <v>172</v>
      </c>
      <c r="C18" s="411">
        <v>1.332913415975933E-2</v>
      </c>
      <c r="D18" s="411">
        <v>7.3546792308315512E-2</v>
      </c>
      <c r="E18" s="411">
        <v>0.23837317755134979</v>
      </c>
      <c r="F18" s="411">
        <v>0.40584465173624629</v>
      </c>
      <c r="G18" s="411">
        <v>0.54710623762309596</v>
      </c>
      <c r="H18" s="411">
        <v>0.63813446364934845</v>
      </c>
      <c r="I18" s="411">
        <v>0.69480662631095358</v>
      </c>
      <c r="J18" s="411">
        <v>0.70030592368281075</v>
      </c>
      <c r="K18" s="411">
        <v>0.65319951670319598</v>
      </c>
      <c r="L18" s="411">
        <v>0.56026165562844255</v>
      </c>
      <c r="M18" s="411">
        <v>0.41853784671313371</v>
      </c>
      <c r="N18" s="411">
        <v>0.24436782588770509</v>
      </c>
      <c r="O18" s="411">
        <v>7.0914901195479857E-2</v>
      </c>
      <c r="P18" s="411">
        <v>1.067461617496146E-2</v>
      </c>
      <c r="Q18" s="203">
        <f t="shared" si="0"/>
        <v>5.2694033693248006</v>
      </c>
      <c r="R18" s="203">
        <f>SUM(C18:P18)*$M$104</f>
        <v>158.08210107974398</v>
      </c>
    </row>
    <row r="19" spans="1:18" x14ac:dyDescent="0.25">
      <c r="B19" s="198" t="s">
        <v>173</v>
      </c>
      <c r="C19" s="411">
        <v>1.5540395274645071E-2</v>
      </c>
      <c r="D19" s="411">
        <v>6.0991821074910239E-2</v>
      </c>
      <c r="E19" s="411">
        <v>0.22129999911413231</v>
      </c>
      <c r="F19" s="411">
        <v>0.39594132749582861</v>
      </c>
      <c r="G19" s="411">
        <v>0.55296136283677699</v>
      </c>
      <c r="H19" s="411">
        <v>0.65636432175054826</v>
      </c>
      <c r="I19" s="411">
        <v>0.71297296493277307</v>
      </c>
      <c r="J19" s="411">
        <v>0.71398546823357245</v>
      </c>
      <c r="K19" s="411">
        <v>0.67692697158235748</v>
      </c>
      <c r="L19" s="411">
        <v>0.58445129550745223</v>
      </c>
      <c r="M19" s="411">
        <v>0.45237907797909332</v>
      </c>
      <c r="N19" s="411">
        <v>0.28179632790539089</v>
      </c>
      <c r="O19" s="411">
        <v>0.1013710812525306</v>
      </c>
      <c r="P19" s="411">
        <v>2.3881080287443391E-2</v>
      </c>
      <c r="Q19" s="203">
        <f t="shared" si="0"/>
        <v>5.4508634952274546</v>
      </c>
      <c r="R19" s="203">
        <f>SUM(C19:P19)*$N$104</f>
        <v>168.97676835205107</v>
      </c>
    </row>
    <row r="23" spans="1:18" x14ac:dyDescent="0.2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</row>
    <row r="24" spans="1:18" x14ac:dyDescent="0.25">
      <c r="A24" s="213"/>
      <c r="N24" s="201"/>
      <c r="Q24" s="213"/>
    </row>
    <row r="25" spans="1:18" x14ac:dyDescent="0.25">
      <c r="A25" s="213"/>
      <c r="E25" s="508" t="s">
        <v>157</v>
      </c>
      <c r="F25" s="508"/>
      <c r="G25" s="508"/>
      <c r="H25" s="203">
        <f>IF($D$3="Goteo-cinta",'Diseño goteo-cinta'!$D$52*1.1,'Diseño Aspersión'!$D$39*1.1)</f>
        <v>1.21</v>
      </c>
      <c r="I25" s="202"/>
      <c r="N25" s="197"/>
      <c r="Q25" s="213"/>
    </row>
    <row r="26" spans="1:18" x14ac:dyDescent="0.25">
      <c r="A26" s="213"/>
      <c r="E26" s="509" t="s">
        <v>159</v>
      </c>
      <c r="F26" s="509"/>
      <c r="G26" s="509"/>
      <c r="H26" s="188">
        <f>IF($D$3="Goteo-cinta",'Diseño goteo-cinta'!$D$55,'Diseño Aspersión'!$D$60)</f>
        <v>32.821249999999999</v>
      </c>
      <c r="I26" s="204" t="s">
        <v>187</v>
      </c>
      <c r="J26" s="198" t="s">
        <v>160</v>
      </c>
      <c r="K26" s="204" t="s">
        <v>161</v>
      </c>
      <c r="N26" s="201"/>
      <c r="Q26" s="213"/>
    </row>
    <row r="27" spans="1:18" x14ac:dyDescent="0.25">
      <c r="A27" s="213"/>
      <c r="C27" s="205"/>
      <c r="E27" s="509" t="s">
        <v>163</v>
      </c>
      <c r="F27" s="509"/>
      <c r="G27" s="509"/>
      <c r="H27" s="188">
        <f>(H25*60*H26*100/4500/(100*(K27*(I27/100)*(J27/100))))*0.75</f>
        <v>1.0342112630208331</v>
      </c>
      <c r="I27" s="387">
        <v>80</v>
      </c>
      <c r="J27" s="387">
        <v>60</v>
      </c>
      <c r="K27" s="387">
        <v>0.8</v>
      </c>
      <c r="N27" s="199"/>
      <c r="Q27" s="213"/>
    </row>
    <row r="28" spans="1:18" x14ac:dyDescent="0.25">
      <c r="A28" s="213"/>
      <c r="N28" s="199"/>
      <c r="Q28" s="213"/>
    </row>
    <row r="29" spans="1:18" x14ac:dyDescent="0.25">
      <c r="A29" s="213"/>
      <c r="E29" s="506" t="str">
        <f>+IF($D$3="Goteo-cinta","pp equipo (mm/h)","Velocidad de aplicación emisor (cm/h)")</f>
        <v>pp equipo (mm/h)</v>
      </c>
      <c r="F29" s="506"/>
      <c r="G29" s="506"/>
      <c r="H29" s="203">
        <f>IF($D$3="Goteo-cinta",'Diseño goteo-cinta'!$D$33,'Diseño Aspersión'!$D$26)</f>
        <v>1.76</v>
      </c>
      <c r="N29" s="199"/>
      <c r="Q29" s="213"/>
    </row>
    <row r="30" spans="1:18" x14ac:dyDescent="0.25">
      <c r="A30" s="213"/>
      <c r="E30" s="507" t="str">
        <f>+IF($D$3="Goteo-cinta","N° Sectores","Posturas")</f>
        <v>N° Sectores</v>
      </c>
      <c r="F30" s="507"/>
      <c r="G30" s="507"/>
      <c r="H30" s="207">
        <f>IF($D$3="Goteo-cinta",'Diseño goteo-cinta'!$D$28,'Diseño Aspersión'!$D$30)</f>
        <v>4</v>
      </c>
      <c r="N30" s="208"/>
      <c r="Q30" s="213"/>
    </row>
    <row r="31" spans="1:18" x14ac:dyDescent="0.25">
      <c r="A31" s="213"/>
      <c r="E31" s="506" t="s">
        <v>168</v>
      </c>
      <c r="F31" s="506"/>
      <c r="G31" s="506"/>
      <c r="H31" s="207">
        <f>+IF($D$3="Aspersión",'Diseño Aspersión'!$D$16,'Diseño goteo-cinta'!$D$16)</f>
        <v>0.9</v>
      </c>
      <c r="N31" s="209"/>
      <c r="Q31" s="213"/>
    </row>
    <row r="32" spans="1:18" x14ac:dyDescent="0.25">
      <c r="A32" s="213"/>
      <c r="E32" s="506" t="s">
        <v>170</v>
      </c>
      <c r="F32" s="506"/>
      <c r="G32" s="506"/>
      <c r="H32" s="207">
        <f>IF($D$3="Goteo-cinta",'Diseño goteo-cinta'!$D$19/100,'Diseño Aspersión'!$D$19/100)</f>
        <v>0.9</v>
      </c>
      <c r="M32" s="378"/>
      <c r="N32" s="210"/>
      <c r="Q32" s="213"/>
    </row>
    <row r="33" spans="1:17" x14ac:dyDescent="0.25">
      <c r="A33" s="213"/>
      <c r="N33" s="199"/>
      <c r="Q33" s="213"/>
    </row>
    <row r="34" spans="1:17" x14ac:dyDescent="0.25">
      <c r="A34" s="213"/>
      <c r="C34" s="211" t="s">
        <v>155</v>
      </c>
      <c r="D34" s="211" t="s">
        <v>156</v>
      </c>
      <c r="E34" s="211" t="s">
        <v>158</v>
      </c>
      <c r="F34" s="211" t="s">
        <v>162</v>
      </c>
      <c r="G34" s="211" t="s">
        <v>164</v>
      </c>
      <c r="H34" s="211" t="s">
        <v>165</v>
      </c>
      <c r="I34" s="211" t="s">
        <v>166</v>
      </c>
      <c r="J34" s="211" t="s">
        <v>167</v>
      </c>
      <c r="K34" s="211" t="s">
        <v>169</v>
      </c>
      <c r="L34" s="211" t="s">
        <v>171</v>
      </c>
      <c r="M34" s="211" t="s">
        <v>172</v>
      </c>
      <c r="N34" s="212" t="s">
        <v>173</v>
      </c>
      <c r="Q34" s="213"/>
    </row>
    <row r="35" spans="1:17" x14ac:dyDescent="0.25">
      <c r="A35" s="213"/>
      <c r="B35" s="207" t="s">
        <v>174</v>
      </c>
      <c r="C35" s="198">
        <f>+ETP!D7</f>
        <v>182.9</v>
      </c>
      <c r="D35" s="198">
        <f>+ETP!E7</f>
        <v>150.27000000000001</v>
      </c>
      <c r="E35" s="198">
        <f>+ETP!F7</f>
        <v>133.30000000000001</v>
      </c>
      <c r="F35" s="198">
        <f>+ETP!G7</f>
        <v>93</v>
      </c>
      <c r="G35" s="198">
        <f>+ETP!H7</f>
        <v>0</v>
      </c>
      <c r="H35" s="198">
        <f>+ETP!I7</f>
        <v>0</v>
      </c>
      <c r="I35" s="198">
        <f>+ETP!J7</f>
        <v>0</v>
      </c>
      <c r="J35" s="198">
        <f>+ETP!K7</f>
        <v>0</v>
      </c>
      <c r="K35" s="198">
        <f>+ETP!L7</f>
        <v>84</v>
      </c>
      <c r="L35" s="198">
        <f>+ETP!M7</f>
        <v>120.9</v>
      </c>
      <c r="M35" s="198">
        <f>+ETP!N7</f>
        <v>150</v>
      </c>
      <c r="N35" s="198">
        <f>+ETP!O7</f>
        <v>179.8</v>
      </c>
      <c r="Q35" s="213"/>
    </row>
    <row r="36" spans="1:17" x14ac:dyDescent="0.25">
      <c r="A36" s="213"/>
      <c r="B36" s="207" t="s">
        <v>175</v>
      </c>
      <c r="C36" s="198">
        <f>+ETP!D8</f>
        <v>31</v>
      </c>
      <c r="D36" s="198">
        <f>+ETP!E8</f>
        <v>29</v>
      </c>
      <c r="E36" s="198">
        <f>+ETP!F8</f>
        <v>31</v>
      </c>
      <c r="F36" s="198">
        <f>+ETP!G8</f>
        <v>30</v>
      </c>
      <c r="G36" s="198">
        <f>+ETP!H8</f>
        <v>0</v>
      </c>
      <c r="H36" s="198">
        <f>+ETP!I8</f>
        <v>0</v>
      </c>
      <c r="I36" s="198">
        <f>+ETP!J8</f>
        <v>0</v>
      </c>
      <c r="J36" s="198">
        <f>+ETP!K8</f>
        <v>0</v>
      </c>
      <c r="K36" s="198">
        <f>+ETP!L8</f>
        <v>30</v>
      </c>
      <c r="L36" s="198">
        <f>+ETP!M8</f>
        <v>31</v>
      </c>
      <c r="M36" s="198">
        <f>+ETP!N8</f>
        <v>30</v>
      </c>
      <c r="N36" s="198">
        <f>+ETP!O8</f>
        <v>31</v>
      </c>
      <c r="Q36" s="213"/>
    </row>
    <row r="37" spans="1:17" x14ac:dyDescent="0.25">
      <c r="A37" s="213"/>
      <c r="B37" s="207" t="s">
        <v>176</v>
      </c>
      <c r="C37" s="206">
        <f>IF(C35&gt;0,C35/C36,0)</f>
        <v>5.9</v>
      </c>
      <c r="D37" s="206">
        <f>IF(D35&gt;0,D35/D36,0)</f>
        <v>5.1817241379310346</v>
      </c>
      <c r="E37" s="206">
        <f>IF(E35&gt;0,E35/E36,0)</f>
        <v>4.3000000000000007</v>
      </c>
      <c r="F37" s="206">
        <f>IF(F35&gt;0,F35/F36,0)</f>
        <v>3.1</v>
      </c>
      <c r="G37" s="206">
        <f t="shared" ref="G37:N37" si="1">IF(G35&gt;0,G35/G36,0)</f>
        <v>0</v>
      </c>
      <c r="H37" s="206">
        <f t="shared" si="1"/>
        <v>0</v>
      </c>
      <c r="I37" s="206">
        <f t="shared" si="1"/>
        <v>0</v>
      </c>
      <c r="J37" s="206">
        <f t="shared" si="1"/>
        <v>0</v>
      </c>
      <c r="K37" s="206">
        <f t="shared" si="1"/>
        <v>2.8</v>
      </c>
      <c r="L37" s="206">
        <f t="shared" si="1"/>
        <v>3.9000000000000004</v>
      </c>
      <c r="M37" s="206">
        <f t="shared" si="1"/>
        <v>5</v>
      </c>
      <c r="N37" s="206">
        <f t="shared" si="1"/>
        <v>5.8000000000000007</v>
      </c>
      <c r="Q37" s="213"/>
    </row>
    <row r="38" spans="1:17" x14ac:dyDescent="0.25">
      <c r="A38" s="213"/>
      <c r="B38" s="207" t="s">
        <v>177</v>
      </c>
      <c r="C38" s="206">
        <f>+C37*$H$31/$H$32</f>
        <v>5.9</v>
      </c>
      <c r="D38" s="206">
        <f t="shared" ref="D38:N38" si="2">+D37*$H$31/$H$32</f>
        <v>5.1817241379310346</v>
      </c>
      <c r="E38" s="206">
        <f t="shared" si="2"/>
        <v>4.3000000000000007</v>
      </c>
      <c r="F38" s="206">
        <f t="shared" si="2"/>
        <v>3.1</v>
      </c>
      <c r="G38" s="206">
        <f t="shared" si="2"/>
        <v>0</v>
      </c>
      <c r="H38" s="206">
        <f t="shared" si="2"/>
        <v>0</v>
      </c>
      <c r="I38" s="206">
        <f t="shared" si="2"/>
        <v>0</v>
      </c>
      <c r="J38" s="206">
        <f t="shared" si="2"/>
        <v>0</v>
      </c>
      <c r="K38" s="206">
        <f t="shared" si="2"/>
        <v>2.8</v>
      </c>
      <c r="L38" s="206">
        <f t="shared" si="2"/>
        <v>3.9000000000000004</v>
      </c>
      <c r="M38" s="206">
        <f t="shared" si="2"/>
        <v>5</v>
      </c>
      <c r="N38" s="206">
        <f t="shared" si="2"/>
        <v>5.8000000000000007</v>
      </c>
      <c r="Q38" s="213"/>
    </row>
    <row r="39" spans="1:17" x14ac:dyDescent="0.25">
      <c r="A39" s="213"/>
      <c r="B39" s="377" t="s">
        <v>265</v>
      </c>
      <c r="C39" s="200">
        <f>IF($D$3="Aspersión",'Diseño Aspersión'!$D$29*C38,$H$29)</f>
        <v>1.76</v>
      </c>
      <c r="D39" s="200">
        <f>IF($D$3="Aspersión",'Diseño Aspersión'!$D$29*D38,$H$29)</f>
        <v>1.76</v>
      </c>
      <c r="E39" s="200">
        <f>IF($D$3="Aspersión",'Diseño Aspersión'!$D$29*E38,$H$29)</f>
        <v>1.76</v>
      </c>
      <c r="F39" s="200">
        <f>IF($D$3="Aspersión",'Diseño Aspersión'!$D$29*F38,$H$29)</f>
        <v>1.76</v>
      </c>
      <c r="G39" s="200">
        <f>IF($D$3="Aspersión",'Diseño Aspersión'!$D$29*G38,$H$29)</f>
        <v>1.76</v>
      </c>
      <c r="H39" s="200">
        <f>IF($D$3="Aspersión",'Diseño Aspersión'!$D$29*H38,$H$29)</f>
        <v>1.76</v>
      </c>
      <c r="I39" s="200">
        <f>IF($D$3="Aspersión",'Diseño Aspersión'!$D$29*I38,$H$29)</f>
        <v>1.76</v>
      </c>
      <c r="J39" s="200">
        <f>IF($D$3="Aspersión",'Diseño Aspersión'!$D$29*J38,$H$29)</f>
        <v>1.76</v>
      </c>
      <c r="K39" s="200">
        <f>IF($D$3="Aspersión",'Diseño Aspersión'!$D$29*K38,$H$29)</f>
        <v>1.76</v>
      </c>
      <c r="L39" s="200">
        <f>IF($D$3="Aspersión",'Diseño Aspersión'!$D$29*L38,$H$29)</f>
        <v>1.76</v>
      </c>
      <c r="M39" s="200">
        <f>IF($D$3="Aspersión",'Diseño Aspersión'!$D$29*M38,$H$29)</f>
        <v>1.76</v>
      </c>
      <c r="N39" s="200">
        <f>IF($D$3="Aspersión",'Diseño Aspersión'!$D$29*N38,$H$29)</f>
        <v>1.76</v>
      </c>
      <c r="Q39" s="213"/>
    </row>
    <row r="40" spans="1:17" x14ac:dyDescent="0.25">
      <c r="A40" s="213"/>
      <c r="B40" s="207" t="str">
        <f>+IF($D$3="Goteo-cinta","Tiempo de riego / sector (h)","Tiempo de riego/Posturas(h)")</f>
        <v>Tiempo de riego / sector (h)</v>
      </c>
      <c r="C40" s="206">
        <f>IF($D$3="Goteo-cinta",C38/$H$29,(C39/$H$29)/10)</f>
        <v>3.3522727272727275</v>
      </c>
      <c r="D40" s="206">
        <f t="shared" ref="D40:F40" si="3">IF($D$3="Goteo-cinta",D38/$H$29,(D39/$H$29)/10)</f>
        <v>2.9441614420062696</v>
      </c>
      <c r="E40" s="206">
        <f t="shared" si="3"/>
        <v>2.4431818181818188</v>
      </c>
      <c r="F40" s="206">
        <f t="shared" si="3"/>
        <v>1.7613636363636365</v>
      </c>
      <c r="G40" s="206">
        <f t="shared" ref="G40" si="4">IF($D$3="Goteo-cinta",G38/$H$29,(G39/$H$29)/10)</f>
        <v>0</v>
      </c>
      <c r="H40" s="206">
        <f t="shared" ref="H40:I40" si="5">IF($D$3="Goteo-cinta",H38/$H$29,(H39/$H$29)/10)</f>
        <v>0</v>
      </c>
      <c r="I40" s="206">
        <f t="shared" si="5"/>
        <v>0</v>
      </c>
      <c r="J40" s="206">
        <f t="shared" ref="J40" si="6">IF($D$3="Goteo-cinta",J38/$H$29,(J39/$H$29)/10)</f>
        <v>0</v>
      </c>
      <c r="K40" s="206">
        <f t="shared" ref="K40:L40" si="7">IF($D$3="Goteo-cinta",K38/$H$29,(K39/$H$29)/10)</f>
        <v>1.5909090909090908</v>
      </c>
      <c r="L40" s="206">
        <f t="shared" si="7"/>
        <v>2.2159090909090913</v>
      </c>
      <c r="M40" s="206">
        <f t="shared" ref="M40" si="8">IF($D$3="Goteo-cinta",M38/$H$29,(M39/$H$29)/10)</f>
        <v>2.8409090909090908</v>
      </c>
      <c r="N40" s="206">
        <f t="shared" ref="N40" si="9">IF($D$3="Goteo-cinta",N38/$H$29,(N39/$H$29)/10)</f>
        <v>3.2954545454545459</v>
      </c>
      <c r="Q40" s="213"/>
    </row>
    <row r="41" spans="1:17" x14ac:dyDescent="0.25">
      <c r="A41" s="213"/>
      <c r="B41" s="207" t="s">
        <v>178</v>
      </c>
      <c r="C41" s="200">
        <f>+C40*$H$30</f>
        <v>13.40909090909091</v>
      </c>
      <c r="D41" s="200">
        <f t="shared" ref="D41:N41" si="10">+D40*$H$30</f>
        <v>11.776645768025078</v>
      </c>
      <c r="E41" s="200">
        <f>+E40*$H$30</f>
        <v>9.7727272727272751</v>
      </c>
      <c r="F41" s="200">
        <f t="shared" si="10"/>
        <v>7.0454545454545459</v>
      </c>
      <c r="G41" s="200">
        <f t="shared" si="10"/>
        <v>0</v>
      </c>
      <c r="H41" s="200">
        <f t="shared" si="10"/>
        <v>0</v>
      </c>
      <c r="I41" s="200">
        <f t="shared" si="10"/>
        <v>0</v>
      </c>
      <c r="J41" s="200">
        <f t="shared" si="10"/>
        <v>0</v>
      </c>
      <c r="K41" s="200">
        <f t="shared" si="10"/>
        <v>6.3636363636363633</v>
      </c>
      <c r="L41" s="200">
        <f t="shared" si="10"/>
        <v>8.8636363636363651</v>
      </c>
      <c r="M41" s="200">
        <f t="shared" si="10"/>
        <v>11.363636363636363</v>
      </c>
      <c r="N41" s="200">
        <f t="shared" si="10"/>
        <v>13.181818181818183</v>
      </c>
      <c r="Q41" s="213"/>
    </row>
    <row r="42" spans="1:17" ht="15.75" thickBot="1" x14ac:dyDescent="0.3">
      <c r="A42" s="213"/>
      <c r="Q42" s="213"/>
    </row>
    <row r="43" spans="1:17" ht="15.75" thickTop="1" x14ac:dyDescent="0.25">
      <c r="A43" s="213"/>
      <c r="C43" s="226"/>
      <c r="D43" s="227"/>
      <c r="E43" s="227"/>
      <c r="F43" s="228"/>
      <c r="Q43" s="213"/>
    </row>
    <row r="44" spans="1:17" x14ac:dyDescent="0.25">
      <c r="A44" s="213"/>
      <c r="C44" s="493" t="s">
        <v>180</v>
      </c>
      <c r="D44" s="494"/>
      <c r="E44" s="229">
        <f>IF($D$2="Off Grid",$K$95,IF($D$2="On Grid",SUM(C106:N106)/((SUM(R8:R19))),(+$AA$13/$AB$13)))</f>
        <v>1.676671493375665</v>
      </c>
      <c r="F44" s="230"/>
      <c r="G44" s="202"/>
      <c r="Q44" s="213"/>
    </row>
    <row r="45" spans="1:17" ht="21" x14ac:dyDescent="0.35">
      <c r="A45" s="213"/>
      <c r="C45" s="495" t="str">
        <f>IF($D$2="Off Grid","Se debe evaluar con iteración","   ")</f>
        <v xml:space="preserve">   </v>
      </c>
      <c r="D45" s="496"/>
      <c r="E45" s="496"/>
      <c r="F45" s="497"/>
      <c r="Q45" s="213"/>
    </row>
    <row r="46" spans="1:17" ht="15.75" thickBot="1" x14ac:dyDescent="0.3">
      <c r="A46" s="213"/>
      <c r="C46" s="232"/>
      <c r="D46" s="233"/>
      <c r="E46" s="233"/>
      <c r="F46" s="234"/>
      <c r="Q46" s="213"/>
    </row>
    <row r="47" spans="1:17" ht="15.75" thickTop="1" x14ac:dyDescent="0.25">
      <c r="A47" s="213"/>
      <c r="Q47" s="213"/>
    </row>
    <row r="48" spans="1:17" x14ac:dyDescent="0.25">
      <c r="A48" s="213"/>
      <c r="B48" s="500" t="str">
        <f>+"Generacion Fotovoltaica"&amp;" ("&amp;(ROUND(E44,2) )&amp;" kWh)"&amp;" mensual (1 día)"</f>
        <v>Generacion Fotovoltaica (1,68 kWh) mensual (1 día)</v>
      </c>
      <c r="C48" s="500"/>
      <c r="D48" s="500"/>
      <c r="E48" s="500"/>
      <c r="F48" s="500"/>
      <c r="G48" s="500"/>
      <c r="H48" s="500"/>
      <c r="I48" s="500"/>
      <c r="J48" s="500"/>
      <c r="K48" s="500"/>
      <c r="L48" s="500"/>
      <c r="M48" s="500"/>
      <c r="N48" s="500"/>
      <c r="O48" s="500"/>
      <c r="P48" s="500"/>
      <c r="Q48" s="213"/>
    </row>
    <row r="49" spans="1:19" x14ac:dyDescent="0.25">
      <c r="A49" s="213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213"/>
    </row>
    <row r="50" spans="1:19" hidden="1" x14ac:dyDescent="0.25">
      <c r="A50" s="213"/>
      <c r="B50" s="196">
        <v>1</v>
      </c>
      <c r="C50" s="196">
        <v>2</v>
      </c>
      <c r="D50" s="196">
        <v>3</v>
      </c>
      <c r="E50" s="196">
        <v>4</v>
      </c>
      <c r="F50" s="196">
        <v>5</v>
      </c>
      <c r="G50" s="196">
        <v>6</v>
      </c>
      <c r="H50" s="196">
        <v>7</v>
      </c>
      <c r="I50" s="196">
        <v>8</v>
      </c>
      <c r="J50" s="196">
        <v>9</v>
      </c>
      <c r="K50" s="196">
        <v>10</v>
      </c>
      <c r="L50" s="196">
        <v>11</v>
      </c>
      <c r="M50" s="196">
        <v>12</v>
      </c>
      <c r="N50" s="196">
        <v>13</v>
      </c>
      <c r="O50" s="196">
        <v>14</v>
      </c>
      <c r="P50" s="196">
        <v>15</v>
      </c>
      <c r="Q50" s="213"/>
    </row>
    <row r="51" spans="1:19" x14ac:dyDescent="0.25">
      <c r="B51" s="198"/>
      <c r="C51" s="198" t="s">
        <v>141</v>
      </c>
      <c r="D51" s="198" t="s">
        <v>142</v>
      </c>
      <c r="E51" s="198" t="s">
        <v>143</v>
      </c>
      <c r="F51" s="198" t="s">
        <v>144</v>
      </c>
      <c r="G51" s="198" t="s">
        <v>145</v>
      </c>
      <c r="H51" s="198" t="s">
        <v>146</v>
      </c>
      <c r="I51" s="198" t="s">
        <v>147</v>
      </c>
      <c r="J51" s="198" t="s">
        <v>148</v>
      </c>
      <c r="K51" s="198" t="s">
        <v>149</v>
      </c>
      <c r="L51" s="198" t="s">
        <v>150</v>
      </c>
      <c r="M51" s="198" t="s">
        <v>151</v>
      </c>
      <c r="N51" s="198" t="s">
        <v>152</v>
      </c>
      <c r="O51" s="198" t="s">
        <v>153</v>
      </c>
      <c r="P51" s="198" t="s">
        <v>154</v>
      </c>
      <c r="Q51" s="213"/>
    </row>
    <row r="52" spans="1:19" x14ac:dyDescent="0.25">
      <c r="B52" s="198" t="s">
        <v>155</v>
      </c>
      <c r="C52" s="200">
        <f t="shared" ref="C52:P52" si="11">+C8*$E$44*(100-$C$129)/100</f>
        <v>4.5906664505624894E-3</v>
      </c>
      <c r="D52" s="200">
        <f t="shared" si="11"/>
        <v>6.3685093917647415E-2</v>
      </c>
      <c r="E52" s="200">
        <f t="shared" si="11"/>
        <v>0.29573134636831916</v>
      </c>
      <c r="F52" s="200">
        <f t="shared" si="11"/>
        <v>0.61196717659274857</v>
      </c>
      <c r="G52" s="200">
        <f t="shared" si="11"/>
        <v>0.9008414075526826</v>
      </c>
      <c r="H52" s="200">
        <f t="shared" si="11"/>
        <v>1.0860121850099109</v>
      </c>
      <c r="I52" s="200">
        <f t="shared" si="11"/>
        <v>1.201938460305757</v>
      </c>
      <c r="J52" s="200">
        <f t="shared" si="11"/>
        <v>1.2206018882274419</v>
      </c>
      <c r="K52" s="200">
        <f t="shared" si="11"/>
        <v>1.1648822320908279</v>
      </c>
      <c r="L52" s="200">
        <f t="shared" si="11"/>
        <v>1.0363609780801131</v>
      </c>
      <c r="M52" s="200">
        <f t="shared" si="11"/>
        <v>0.83602649738887502</v>
      </c>
      <c r="N52" s="200">
        <f t="shared" si="11"/>
        <v>0.55492928447636458</v>
      </c>
      <c r="O52" s="200">
        <f t="shared" si="11"/>
        <v>0.23108677214500822</v>
      </c>
      <c r="P52" s="200">
        <f t="shared" si="11"/>
        <v>4.5044314752837662E-2</v>
      </c>
      <c r="Q52" s="222"/>
      <c r="S52" s="202"/>
    </row>
    <row r="53" spans="1:19" x14ac:dyDescent="0.25">
      <c r="B53" s="198" t="s">
        <v>156</v>
      </c>
      <c r="C53" s="200">
        <f t="shared" ref="C53:P53" si="12">+C9*$E$44*(100-$C$129)/100</f>
        <v>0</v>
      </c>
      <c r="D53" s="200">
        <f t="shared" si="12"/>
        <v>3.7462237483761554E-2</v>
      </c>
      <c r="E53" s="200">
        <f t="shared" si="12"/>
        <v>0.24586544166786495</v>
      </c>
      <c r="F53" s="200">
        <f t="shared" si="12"/>
        <v>0.56132995731684321</v>
      </c>
      <c r="G53" s="200">
        <f t="shared" si="12"/>
        <v>0.85554120345735685</v>
      </c>
      <c r="H53" s="200">
        <f t="shared" si="12"/>
        <v>1.0491493855738012</v>
      </c>
      <c r="I53" s="200">
        <f t="shared" si="12"/>
        <v>1.1865596331247263</v>
      </c>
      <c r="J53" s="200">
        <f t="shared" si="12"/>
        <v>1.2373564304716547</v>
      </c>
      <c r="K53" s="200">
        <f t="shared" si="12"/>
        <v>1.1875818219251844</v>
      </c>
      <c r="L53" s="200">
        <f t="shared" si="12"/>
        <v>1.0515594142303128</v>
      </c>
      <c r="M53" s="200">
        <f t="shared" si="12"/>
        <v>0.84650198782102781</v>
      </c>
      <c r="N53" s="200">
        <f t="shared" si="12"/>
        <v>0.57031972393750918</v>
      </c>
      <c r="O53" s="200">
        <f t="shared" si="12"/>
        <v>0.23789757203862172</v>
      </c>
      <c r="P53" s="200">
        <f t="shared" si="12"/>
        <v>2.9318926605761918E-2</v>
      </c>
      <c r="Q53" s="222"/>
      <c r="S53" s="202"/>
    </row>
    <row r="54" spans="1:19" x14ac:dyDescent="0.25">
      <c r="B54" s="200" t="s">
        <v>158</v>
      </c>
      <c r="C54" s="200">
        <f t="shared" ref="C54:P54" si="13">+C10*$E$44*(100-$C$129)/100</f>
        <v>0</v>
      </c>
      <c r="D54" s="200">
        <f t="shared" si="13"/>
        <v>1.043764768884411E-2</v>
      </c>
      <c r="E54" s="200">
        <f t="shared" si="13"/>
        <v>0.27987989525198181</v>
      </c>
      <c r="F54" s="200">
        <f t="shared" si="13"/>
        <v>0.54495898028974354</v>
      </c>
      <c r="G54" s="200">
        <f t="shared" si="13"/>
        <v>0.81590638627317236</v>
      </c>
      <c r="H54" s="200">
        <f t="shared" si="13"/>
        <v>1.0129821555721681</v>
      </c>
      <c r="I54" s="200">
        <f t="shared" si="13"/>
        <v>1.1307447517069227</v>
      </c>
      <c r="J54" s="200">
        <f t="shared" si="13"/>
        <v>1.1758890522793601</v>
      </c>
      <c r="K54" s="200">
        <f t="shared" si="13"/>
        <v>1.130303425315516</v>
      </c>
      <c r="L54" s="200">
        <f t="shared" si="13"/>
        <v>0.99177011687448002</v>
      </c>
      <c r="M54" s="200">
        <f t="shared" si="13"/>
        <v>0.78869746153117926</v>
      </c>
      <c r="N54" s="200">
        <f t="shared" si="13"/>
        <v>0.50620351495639138</v>
      </c>
      <c r="O54" s="200">
        <f t="shared" si="13"/>
        <v>0.17804778341910635</v>
      </c>
      <c r="P54" s="200">
        <f t="shared" si="13"/>
        <v>1.7465279969402995E-3</v>
      </c>
      <c r="Q54" s="222"/>
      <c r="S54" s="202"/>
    </row>
    <row r="55" spans="1:19" x14ac:dyDescent="0.25">
      <c r="B55" s="200" t="s">
        <v>162</v>
      </c>
      <c r="C55" s="200">
        <f t="shared" ref="C55:P55" si="14">+C11*$E$44*(100-$C$129)/100</f>
        <v>0</v>
      </c>
      <c r="D55" s="200">
        <f t="shared" si="14"/>
        <v>0</v>
      </c>
      <c r="E55" s="200">
        <f t="shared" si="14"/>
        <v>0.25840569852665485</v>
      </c>
      <c r="F55" s="200">
        <f t="shared" si="14"/>
        <v>0.48169587961630067</v>
      </c>
      <c r="G55" s="200">
        <f t="shared" si="14"/>
        <v>0.69794158521673344</v>
      </c>
      <c r="H55" s="200">
        <f t="shared" si="14"/>
        <v>0.85992127017203368</v>
      </c>
      <c r="I55" s="200">
        <f t="shared" si="14"/>
        <v>0.98246487978983565</v>
      </c>
      <c r="J55" s="200">
        <f t="shared" si="14"/>
        <v>0.99361670997987783</v>
      </c>
      <c r="K55" s="200">
        <f t="shared" si="14"/>
        <v>0.94827326759149388</v>
      </c>
      <c r="L55" s="200">
        <f t="shared" si="14"/>
        <v>0.828585996378436</v>
      </c>
      <c r="M55" s="200">
        <f t="shared" si="14"/>
        <v>0.64005425268853611</v>
      </c>
      <c r="N55" s="200">
        <f t="shared" si="14"/>
        <v>0.35255713939465766</v>
      </c>
      <c r="O55" s="200">
        <f t="shared" si="14"/>
        <v>2.3836862574311109E-2</v>
      </c>
      <c r="P55" s="200">
        <f t="shared" si="14"/>
        <v>0</v>
      </c>
      <c r="Q55" s="222"/>
      <c r="S55" s="202"/>
    </row>
    <row r="56" spans="1:19" x14ac:dyDescent="0.25">
      <c r="B56" s="198" t="s">
        <v>164</v>
      </c>
      <c r="C56" s="200">
        <f t="shared" ref="C56:P56" si="15">+C12*$E$44*(100-$C$129)/100</f>
        <v>0</v>
      </c>
      <c r="D56" s="200">
        <f t="shared" si="15"/>
        <v>0</v>
      </c>
      <c r="E56" s="200">
        <f t="shared" si="15"/>
        <v>0.15628609792737511</v>
      </c>
      <c r="F56" s="200">
        <f t="shared" si="15"/>
        <v>0.33018725149166545</v>
      </c>
      <c r="G56" s="200">
        <f t="shared" si="15"/>
        <v>0.53084379246293734</v>
      </c>
      <c r="H56" s="200">
        <f t="shared" si="15"/>
        <v>0.66683323204713385</v>
      </c>
      <c r="I56" s="200">
        <f t="shared" si="15"/>
        <v>0.76148998773663668</v>
      </c>
      <c r="J56" s="200">
        <f t="shared" si="15"/>
        <v>0.80098588715599872</v>
      </c>
      <c r="K56" s="200">
        <f t="shared" si="15"/>
        <v>0.75102819040741542</v>
      </c>
      <c r="L56" s="200">
        <f t="shared" si="15"/>
        <v>0.64138222394793976</v>
      </c>
      <c r="M56" s="200">
        <f t="shared" si="15"/>
        <v>0.52695294692515104</v>
      </c>
      <c r="N56" s="200">
        <f t="shared" si="15"/>
        <v>0.2819536556785715</v>
      </c>
      <c r="O56" s="200">
        <f t="shared" si="15"/>
        <v>0</v>
      </c>
      <c r="P56" s="200">
        <f t="shared" si="15"/>
        <v>0</v>
      </c>
      <c r="Q56" s="222"/>
      <c r="S56" s="202"/>
    </row>
    <row r="57" spans="1:19" x14ac:dyDescent="0.25">
      <c r="B57" s="206" t="s">
        <v>165</v>
      </c>
      <c r="C57" s="200">
        <f t="shared" ref="C57:P57" si="16">+C13*$E$44*(100-$C$129)/100</f>
        <v>0</v>
      </c>
      <c r="D57" s="200">
        <f t="shared" si="16"/>
        <v>0</v>
      </c>
      <c r="E57" s="200">
        <f t="shared" si="16"/>
        <v>2.3641795037441016E-2</v>
      </c>
      <c r="F57" s="200">
        <f t="shared" si="16"/>
        <v>0.4439707002409079</v>
      </c>
      <c r="G57" s="200">
        <f t="shared" si="16"/>
        <v>0.4651364084103628</v>
      </c>
      <c r="H57" s="200">
        <f t="shared" si="16"/>
        <v>0.62688619863707096</v>
      </c>
      <c r="I57" s="200">
        <f t="shared" si="16"/>
        <v>0.70528578688168819</v>
      </c>
      <c r="J57" s="200">
        <f t="shared" si="16"/>
        <v>0.74192620877608118</v>
      </c>
      <c r="K57" s="200">
        <f t="shared" si="16"/>
        <v>0.69018322256709264</v>
      </c>
      <c r="L57" s="200">
        <f t="shared" si="16"/>
        <v>0.5777381744565605</v>
      </c>
      <c r="M57" s="200">
        <f t="shared" si="16"/>
        <v>0.51023534654845137</v>
      </c>
      <c r="N57" s="200">
        <f t="shared" si="16"/>
        <v>0.25200173489697969</v>
      </c>
      <c r="O57" s="200">
        <f t="shared" si="16"/>
        <v>0</v>
      </c>
      <c r="P57" s="200">
        <f t="shared" si="16"/>
        <v>0</v>
      </c>
      <c r="Q57" s="222"/>
      <c r="S57" s="202"/>
    </row>
    <row r="58" spans="1:19" x14ac:dyDescent="0.25">
      <c r="B58" s="198" t="s">
        <v>166</v>
      </c>
      <c r="C58" s="200">
        <f t="shared" ref="C58:P58" si="17">+C14*$E$44*(100-$C$129)/100</f>
        <v>0</v>
      </c>
      <c r="D58" s="200">
        <f t="shared" si="17"/>
        <v>0</v>
      </c>
      <c r="E58" s="200">
        <f t="shared" si="17"/>
        <v>3.5916285715051802E-2</v>
      </c>
      <c r="F58" s="200">
        <f t="shared" si="17"/>
        <v>0.41096891294973481</v>
      </c>
      <c r="G58" s="200">
        <f t="shared" si="17"/>
        <v>0.49741877043889832</v>
      </c>
      <c r="H58" s="200">
        <f t="shared" si="17"/>
        <v>0.64101371121421846</v>
      </c>
      <c r="I58" s="200">
        <f t="shared" si="17"/>
        <v>0.71852822339343869</v>
      </c>
      <c r="J58" s="200">
        <f t="shared" si="17"/>
        <v>0.75099933519311646</v>
      </c>
      <c r="K58" s="200">
        <f t="shared" si="17"/>
        <v>0.71541105797618731</v>
      </c>
      <c r="L58" s="200">
        <f t="shared" si="17"/>
        <v>0.60243027836012697</v>
      </c>
      <c r="M58" s="200">
        <f t="shared" si="17"/>
        <v>0.51254565547172859</v>
      </c>
      <c r="N58" s="200">
        <f t="shared" si="17"/>
        <v>0.31693021697631563</v>
      </c>
      <c r="O58" s="200">
        <f t="shared" si="17"/>
        <v>0</v>
      </c>
      <c r="P58" s="200">
        <f t="shared" si="17"/>
        <v>0</v>
      </c>
      <c r="Q58" s="222"/>
      <c r="S58" s="202"/>
    </row>
    <row r="59" spans="1:19" x14ac:dyDescent="0.25">
      <c r="B59" s="198" t="s">
        <v>167</v>
      </c>
      <c r="C59" s="200">
        <f t="shared" ref="C59:P59" si="18">+C15*$E$44*(100-$C$129)/100</f>
        <v>0</v>
      </c>
      <c r="D59" s="200">
        <f t="shared" si="18"/>
        <v>0</v>
      </c>
      <c r="E59" s="200">
        <f t="shared" si="18"/>
        <v>0.18697811079936544</v>
      </c>
      <c r="F59" s="200">
        <f t="shared" si="18"/>
        <v>0.3919835248644104</v>
      </c>
      <c r="G59" s="200">
        <f t="shared" si="18"/>
        <v>0.57231670368056708</v>
      </c>
      <c r="H59" s="200">
        <f t="shared" si="18"/>
        <v>0.70739052365117905</v>
      </c>
      <c r="I59" s="200">
        <f t="shared" si="18"/>
        <v>0.79834396714956046</v>
      </c>
      <c r="J59" s="200">
        <f t="shared" si="18"/>
        <v>0.84512766492681513</v>
      </c>
      <c r="K59" s="200">
        <f t="shared" si="18"/>
        <v>0.79730667834569946</v>
      </c>
      <c r="L59" s="200">
        <f t="shared" si="18"/>
        <v>0.67766774014570952</v>
      </c>
      <c r="M59" s="200">
        <f t="shared" si="18"/>
        <v>0.53242972945936429</v>
      </c>
      <c r="N59" s="200">
        <f t="shared" si="18"/>
        <v>0.29591540909456088</v>
      </c>
      <c r="O59" s="200">
        <f t="shared" si="18"/>
        <v>6.0207055971904467E-3</v>
      </c>
      <c r="P59" s="200">
        <f t="shared" si="18"/>
        <v>0</v>
      </c>
      <c r="Q59" s="222"/>
      <c r="S59" s="202"/>
    </row>
    <row r="60" spans="1:19" x14ac:dyDescent="0.25">
      <c r="B60" s="200" t="s">
        <v>169</v>
      </c>
      <c r="C60" s="200">
        <f t="shared" ref="C60:P60" si="19">+C16*$E$44*(100-$C$129)/100</f>
        <v>0</v>
      </c>
      <c r="D60" s="200">
        <f t="shared" si="19"/>
        <v>2.6321869536484379E-2</v>
      </c>
      <c r="E60" s="200">
        <f t="shared" si="19"/>
        <v>0.31503074849570151</v>
      </c>
      <c r="F60" s="200">
        <f t="shared" si="19"/>
        <v>0.54459441696006716</v>
      </c>
      <c r="G60" s="200">
        <f t="shared" si="19"/>
        <v>0.72414605796979903</v>
      </c>
      <c r="H60" s="200">
        <f t="shared" si="19"/>
        <v>0.87321988656068272</v>
      </c>
      <c r="I60" s="200">
        <f t="shared" si="19"/>
        <v>0.9677302987036549</v>
      </c>
      <c r="J60" s="200">
        <f t="shared" si="19"/>
        <v>0.98928175784896544</v>
      </c>
      <c r="K60" s="200">
        <f t="shared" si="19"/>
        <v>0.92693953487732106</v>
      </c>
      <c r="L60" s="200">
        <f t="shared" si="19"/>
        <v>0.78699453786290607</v>
      </c>
      <c r="M60" s="200">
        <f t="shared" si="19"/>
        <v>0.6067315566233501</v>
      </c>
      <c r="N60" s="200">
        <f t="shared" si="19"/>
        <v>0.3321366311199998</v>
      </c>
      <c r="O60" s="200">
        <f t="shared" si="19"/>
        <v>6.066476563883063E-2</v>
      </c>
      <c r="P60" s="200">
        <f t="shared" si="19"/>
        <v>0</v>
      </c>
      <c r="Q60" s="222"/>
      <c r="S60" s="202"/>
    </row>
    <row r="61" spans="1:19" x14ac:dyDescent="0.25">
      <c r="B61" s="200" t="s">
        <v>171</v>
      </c>
      <c r="C61" s="200">
        <f t="shared" ref="C61:P61" si="20">+C17*$E$44*(100-$C$129)/100</f>
        <v>9.9257018017013415E-4</v>
      </c>
      <c r="D61" s="200">
        <f t="shared" si="20"/>
        <v>9.9960505917966375E-2</v>
      </c>
      <c r="E61" s="200">
        <f t="shared" si="20"/>
        <v>0.32702492308085113</v>
      </c>
      <c r="F61" s="200">
        <f t="shared" si="20"/>
        <v>0.60175191924975335</v>
      </c>
      <c r="G61" s="200">
        <f t="shared" si="20"/>
        <v>0.8409288858029289</v>
      </c>
      <c r="H61" s="200">
        <f t="shared" si="20"/>
        <v>0.99056003349644817</v>
      </c>
      <c r="I61" s="200">
        <f t="shared" si="20"/>
        <v>1.0787156154857089</v>
      </c>
      <c r="J61" s="200">
        <f t="shared" si="20"/>
        <v>1.0925137691698661</v>
      </c>
      <c r="K61" s="200">
        <f t="shared" si="20"/>
        <v>1.004816423602132</v>
      </c>
      <c r="L61" s="200">
        <f t="shared" si="20"/>
        <v>0.84729473422634616</v>
      </c>
      <c r="M61" s="200">
        <f t="shared" si="20"/>
        <v>0.63834377351124483</v>
      </c>
      <c r="N61" s="200">
        <f t="shared" si="20"/>
        <v>0.36960464582620811</v>
      </c>
      <c r="O61" s="200">
        <f t="shared" si="20"/>
        <v>9.8948086284854672E-2</v>
      </c>
      <c r="P61" s="200">
        <f t="shared" si="20"/>
        <v>2.7590453289939084E-5</v>
      </c>
      <c r="Q61" s="222"/>
      <c r="S61" s="202"/>
    </row>
    <row r="62" spans="1:19" x14ac:dyDescent="0.25">
      <c r="B62" s="198" t="s">
        <v>172</v>
      </c>
      <c r="C62" s="200">
        <f t="shared" ref="C62:P62" si="21">+C18*$E$44*(100-$C$129)/100</f>
        <v>2.2348579277048267E-2</v>
      </c>
      <c r="D62" s="200">
        <f t="shared" si="21"/>
        <v>0.12331381009257324</v>
      </c>
      <c r="E62" s="200">
        <f t="shared" si="21"/>
        <v>0.39967351158572417</v>
      </c>
      <c r="F62" s="200">
        <f t="shared" si="21"/>
        <v>0.68046815830513874</v>
      </c>
      <c r="G62" s="200">
        <f t="shared" si="21"/>
        <v>0.91731743247065778</v>
      </c>
      <c r="H62" s="200">
        <f t="shared" si="21"/>
        <v>1.069941864141432</v>
      </c>
      <c r="I62" s="200">
        <f t="shared" si="21"/>
        <v>1.1649624637440941</v>
      </c>
      <c r="J62" s="200">
        <f t="shared" si="21"/>
        <v>1.1741829788810827</v>
      </c>
      <c r="K62" s="200">
        <f t="shared" si="21"/>
        <v>1.0952010091430102</v>
      </c>
      <c r="L62" s="200">
        <f t="shared" si="21"/>
        <v>0.93937474682366329</v>
      </c>
      <c r="M62" s="200">
        <f t="shared" si="21"/>
        <v>0.70175047648274502</v>
      </c>
      <c r="N62" s="200">
        <f t="shared" si="21"/>
        <v>0.40972456756410297</v>
      </c>
      <c r="O62" s="200">
        <f t="shared" si="21"/>
        <v>0.11890099329001295</v>
      </c>
      <c r="P62" s="200">
        <f t="shared" si="21"/>
        <v>1.7897824643284661E-2</v>
      </c>
      <c r="Q62" s="222"/>
      <c r="S62" s="202"/>
    </row>
    <row r="63" spans="1:19" x14ac:dyDescent="0.25">
      <c r="B63" s="206" t="s">
        <v>173</v>
      </c>
      <c r="C63" s="200">
        <f t="shared" ref="C63:P63" si="22">+C19*$E$44*(100-$C$129)/100</f>
        <v>2.6056137752787277E-2</v>
      </c>
      <c r="D63" s="200">
        <f t="shared" si="22"/>
        <v>0.10226324772537111</v>
      </c>
      <c r="E63" s="200">
        <f t="shared" si="22"/>
        <v>0.37104739999872555</v>
      </c>
      <c r="F63" s="200">
        <f t="shared" si="22"/>
        <v>0.66386353686157418</v>
      </c>
      <c r="G63" s="200">
        <f t="shared" si="22"/>
        <v>0.92713455400658196</v>
      </c>
      <c r="H63" s="200">
        <f t="shared" si="22"/>
        <v>1.1005073475479972</v>
      </c>
      <c r="I63" s="200">
        <f t="shared" si="22"/>
        <v>1.1954214458503083</v>
      </c>
      <c r="J63" s="200">
        <f t="shared" si="22"/>
        <v>1.1971190812717074</v>
      </c>
      <c r="K63" s="200">
        <f t="shared" si="22"/>
        <v>1.1349841563492578</v>
      </c>
      <c r="L63" s="200">
        <f t="shared" si="22"/>
        <v>0.97993282644382207</v>
      </c>
      <c r="M63" s="200">
        <f t="shared" si="22"/>
        <v>0.75849110424711286</v>
      </c>
      <c r="N63" s="200">
        <f t="shared" si="22"/>
        <v>0.47247986993691027</v>
      </c>
      <c r="O63" s="200">
        <f t="shared" si="22"/>
        <v>0.16996600218878638</v>
      </c>
      <c r="P63" s="200">
        <f t="shared" si="22"/>
        <v>4.0040726548971867E-2</v>
      </c>
      <c r="Q63" s="222"/>
      <c r="S63" s="202"/>
    </row>
    <row r="64" spans="1:19" x14ac:dyDescent="0.25">
      <c r="A64" s="213"/>
      <c r="Q64" s="222"/>
    </row>
    <row r="65" spans="1:17" x14ac:dyDescent="0.25">
      <c r="A65" s="213"/>
      <c r="Q65" s="213"/>
    </row>
    <row r="66" spans="1:17" x14ac:dyDescent="0.25">
      <c r="A66" s="213"/>
      <c r="Q66" s="213"/>
    </row>
    <row r="67" spans="1:17" x14ac:dyDescent="0.25">
      <c r="A67" s="213"/>
      <c r="Q67" s="213"/>
    </row>
    <row r="69" spans="1:17" x14ac:dyDescent="0.25">
      <c r="B69" s="501" t="s">
        <v>179</v>
      </c>
      <c r="C69" s="501"/>
      <c r="D69" s="501"/>
      <c r="E69" s="501"/>
      <c r="F69" s="501"/>
      <c r="G69" s="501"/>
      <c r="H69" s="501"/>
      <c r="I69" s="501"/>
      <c r="J69" s="501"/>
      <c r="K69" s="501"/>
      <c r="L69" s="501"/>
      <c r="M69" s="501"/>
      <c r="N69" s="501"/>
      <c r="O69" s="501"/>
      <c r="P69" s="501"/>
    </row>
    <row r="71" spans="1:17" x14ac:dyDescent="0.25">
      <c r="B71" s="198"/>
      <c r="C71" s="198" t="s">
        <v>141</v>
      </c>
      <c r="D71" s="198" t="s">
        <v>142</v>
      </c>
      <c r="E71" s="198" t="s">
        <v>143</v>
      </c>
      <c r="F71" s="198" t="s">
        <v>144</v>
      </c>
      <c r="G71" s="198" t="s">
        <v>145</v>
      </c>
      <c r="H71" s="198" t="s">
        <v>146</v>
      </c>
      <c r="I71" s="198" t="s">
        <v>147</v>
      </c>
      <c r="J71" s="198" t="s">
        <v>148</v>
      </c>
      <c r="K71" s="198" t="s">
        <v>149</v>
      </c>
      <c r="L71" s="198" t="s">
        <v>150</v>
      </c>
      <c r="M71" s="198" t="s">
        <v>151</v>
      </c>
      <c r="N71" s="198" t="s">
        <v>152</v>
      </c>
      <c r="O71" s="198" t="s">
        <v>153</v>
      </c>
      <c r="P71" s="198" t="s">
        <v>154</v>
      </c>
    </row>
    <row r="72" spans="1:17" x14ac:dyDescent="0.25">
      <c r="B72" s="198" t="s">
        <v>155</v>
      </c>
      <c r="C72" s="198" t="str">
        <f t="shared" ref="C72:P72" si="23">+IF((C52)&gt;($C$130/1000),"SI","NO")</f>
        <v>NO</v>
      </c>
      <c r="D72" s="198" t="str">
        <f t="shared" si="23"/>
        <v>NO</v>
      </c>
      <c r="E72" s="198" t="str">
        <f t="shared" si="23"/>
        <v>NO</v>
      </c>
      <c r="F72" s="198" t="str">
        <f t="shared" si="23"/>
        <v>NO</v>
      </c>
      <c r="G72" s="198" t="str">
        <f t="shared" si="23"/>
        <v>NO</v>
      </c>
      <c r="H72" s="198" t="str">
        <f t="shared" si="23"/>
        <v>SI</v>
      </c>
      <c r="I72" s="198" t="str">
        <f t="shared" si="23"/>
        <v>SI</v>
      </c>
      <c r="J72" s="198" t="str">
        <f t="shared" si="23"/>
        <v>SI</v>
      </c>
      <c r="K72" s="198" t="str">
        <f t="shared" si="23"/>
        <v>SI</v>
      </c>
      <c r="L72" s="198" t="str">
        <f t="shared" si="23"/>
        <v>SI</v>
      </c>
      <c r="M72" s="198" t="str">
        <f t="shared" si="23"/>
        <v>NO</v>
      </c>
      <c r="N72" s="198" t="str">
        <f t="shared" si="23"/>
        <v>NO</v>
      </c>
      <c r="O72" s="198" t="str">
        <f t="shared" si="23"/>
        <v>NO</v>
      </c>
      <c r="P72" s="198" t="str">
        <f t="shared" si="23"/>
        <v>NO</v>
      </c>
    </row>
    <row r="73" spans="1:17" x14ac:dyDescent="0.25">
      <c r="B73" s="198" t="s">
        <v>156</v>
      </c>
      <c r="C73" s="198" t="str">
        <f t="shared" ref="C73:P73" si="24">+IF((C53)&gt;($C$130/1000),"SI","NO")</f>
        <v>NO</v>
      </c>
      <c r="D73" s="198" t="str">
        <f t="shared" si="24"/>
        <v>NO</v>
      </c>
      <c r="E73" s="198" t="str">
        <f t="shared" si="24"/>
        <v>NO</v>
      </c>
      <c r="F73" s="198" t="str">
        <f t="shared" si="24"/>
        <v>NO</v>
      </c>
      <c r="G73" s="198" t="str">
        <f t="shared" si="24"/>
        <v>NO</v>
      </c>
      <c r="H73" s="198" t="str">
        <f t="shared" si="24"/>
        <v>SI</v>
      </c>
      <c r="I73" s="198" t="str">
        <f t="shared" si="24"/>
        <v>SI</v>
      </c>
      <c r="J73" s="198" t="str">
        <f t="shared" si="24"/>
        <v>SI</v>
      </c>
      <c r="K73" s="198" t="str">
        <f t="shared" si="24"/>
        <v>SI</v>
      </c>
      <c r="L73" s="198" t="str">
        <f t="shared" si="24"/>
        <v>SI</v>
      </c>
      <c r="M73" s="198" t="str">
        <f t="shared" si="24"/>
        <v>NO</v>
      </c>
      <c r="N73" s="198" t="str">
        <f t="shared" si="24"/>
        <v>NO</v>
      </c>
      <c r="O73" s="198" t="str">
        <f t="shared" si="24"/>
        <v>NO</v>
      </c>
      <c r="P73" s="198" t="str">
        <f t="shared" si="24"/>
        <v>NO</v>
      </c>
    </row>
    <row r="74" spans="1:17" x14ac:dyDescent="0.25">
      <c r="B74" s="200" t="s">
        <v>158</v>
      </c>
      <c r="C74" s="198" t="str">
        <f t="shared" ref="C74:P74" si="25">+IF((C54)&gt;($C$130/1000),"SI","NO")</f>
        <v>NO</v>
      </c>
      <c r="D74" s="198" t="str">
        <f t="shared" si="25"/>
        <v>NO</v>
      </c>
      <c r="E74" s="198" t="str">
        <f t="shared" si="25"/>
        <v>NO</v>
      </c>
      <c r="F74" s="198" t="str">
        <f t="shared" si="25"/>
        <v>NO</v>
      </c>
      <c r="G74" s="198" t="str">
        <f t="shared" si="25"/>
        <v>NO</v>
      </c>
      <c r="H74" s="198" t="str">
        <f t="shared" si="25"/>
        <v>NO</v>
      </c>
      <c r="I74" s="198" t="str">
        <f t="shared" si="25"/>
        <v>SI</v>
      </c>
      <c r="J74" s="198" t="str">
        <f t="shared" si="25"/>
        <v>SI</v>
      </c>
      <c r="K74" s="198" t="str">
        <f t="shared" si="25"/>
        <v>SI</v>
      </c>
      <c r="L74" s="198" t="str">
        <f t="shared" si="25"/>
        <v>NO</v>
      </c>
      <c r="M74" s="198" t="str">
        <f t="shared" si="25"/>
        <v>NO</v>
      </c>
      <c r="N74" s="198" t="str">
        <f t="shared" si="25"/>
        <v>NO</v>
      </c>
      <c r="O74" s="198" t="str">
        <f t="shared" si="25"/>
        <v>NO</v>
      </c>
      <c r="P74" s="198" t="str">
        <f t="shared" si="25"/>
        <v>NO</v>
      </c>
    </row>
    <row r="75" spans="1:17" x14ac:dyDescent="0.25">
      <c r="B75" s="200" t="s">
        <v>162</v>
      </c>
      <c r="C75" s="198" t="str">
        <f t="shared" ref="C75:P75" si="26">+IF((C55)&gt;($C$130/1000),"SI","NO")</f>
        <v>NO</v>
      </c>
      <c r="D75" s="198" t="str">
        <f t="shared" si="26"/>
        <v>NO</v>
      </c>
      <c r="E75" s="198" t="str">
        <f t="shared" si="26"/>
        <v>NO</v>
      </c>
      <c r="F75" s="198" t="str">
        <f t="shared" si="26"/>
        <v>NO</v>
      </c>
      <c r="G75" s="198" t="str">
        <f t="shared" si="26"/>
        <v>NO</v>
      </c>
      <c r="H75" s="198" t="str">
        <f t="shared" si="26"/>
        <v>NO</v>
      </c>
      <c r="I75" s="198" t="str">
        <f t="shared" si="26"/>
        <v>NO</v>
      </c>
      <c r="J75" s="198" t="str">
        <f t="shared" si="26"/>
        <v>NO</v>
      </c>
      <c r="K75" s="198" t="str">
        <f t="shared" si="26"/>
        <v>NO</v>
      </c>
      <c r="L75" s="198" t="str">
        <f t="shared" si="26"/>
        <v>NO</v>
      </c>
      <c r="M75" s="198" t="str">
        <f t="shared" si="26"/>
        <v>NO</v>
      </c>
      <c r="N75" s="198" t="str">
        <f t="shared" si="26"/>
        <v>NO</v>
      </c>
      <c r="O75" s="198" t="str">
        <f t="shared" si="26"/>
        <v>NO</v>
      </c>
      <c r="P75" s="198" t="str">
        <f t="shared" si="26"/>
        <v>NO</v>
      </c>
    </row>
    <row r="76" spans="1:17" x14ac:dyDescent="0.25">
      <c r="B76" s="221" t="s">
        <v>164</v>
      </c>
      <c r="C76" s="198" t="str">
        <f t="shared" ref="C76:P76" si="27">+IF((C56)&gt;($C$130/1000),"SI","NO")</f>
        <v>NO</v>
      </c>
      <c r="D76" s="198" t="str">
        <f t="shared" si="27"/>
        <v>NO</v>
      </c>
      <c r="E76" s="198" t="str">
        <f t="shared" si="27"/>
        <v>NO</v>
      </c>
      <c r="F76" s="198" t="str">
        <f t="shared" si="27"/>
        <v>NO</v>
      </c>
      <c r="G76" s="198" t="str">
        <f t="shared" si="27"/>
        <v>NO</v>
      </c>
      <c r="H76" s="198" t="str">
        <f t="shared" si="27"/>
        <v>NO</v>
      </c>
      <c r="I76" s="198" t="str">
        <f t="shared" si="27"/>
        <v>NO</v>
      </c>
      <c r="J76" s="198" t="str">
        <f t="shared" si="27"/>
        <v>NO</v>
      </c>
      <c r="K76" s="198" t="str">
        <f t="shared" si="27"/>
        <v>NO</v>
      </c>
      <c r="L76" s="198" t="str">
        <f t="shared" si="27"/>
        <v>NO</v>
      </c>
      <c r="M76" s="198" t="str">
        <f t="shared" si="27"/>
        <v>NO</v>
      </c>
      <c r="N76" s="198" t="str">
        <f t="shared" si="27"/>
        <v>NO</v>
      </c>
      <c r="O76" s="198" t="str">
        <f t="shared" si="27"/>
        <v>NO</v>
      </c>
      <c r="P76" s="198" t="str">
        <f t="shared" si="27"/>
        <v>NO</v>
      </c>
    </row>
    <row r="77" spans="1:17" x14ac:dyDescent="0.25">
      <c r="B77" s="224" t="s">
        <v>165</v>
      </c>
      <c r="C77" s="198" t="str">
        <f t="shared" ref="C77:P77" si="28">+IF((C57)&gt;($C$130/1000),"SI","NO")</f>
        <v>NO</v>
      </c>
      <c r="D77" s="198" t="str">
        <f t="shared" si="28"/>
        <v>NO</v>
      </c>
      <c r="E77" s="198" t="str">
        <f t="shared" si="28"/>
        <v>NO</v>
      </c>
      <c r="F77" s="198" t="str">
        <f t="shared" si="28"/>
        <v>NO</v>
      </c>
      <c r="G77" s="198" t="str">
        <f t="shared" si="28"/>
        <v>NO</v>
      </c>
      <c r="H77" s="198" t="str">
        <f t="shared" si="28"/>
        <v>NO</v>
      </c>
      <c r="I77" s="198" t="str">
        <f t="shared" si="28"/>
        <v>NO</v>
      </c>
      <c r="J77" s="198" t="str">
        <f t="shared" si="28"/>
        <v>NO</v>
      </c>
      <c r="K77" s="198" t="str">
        <f t="shared" si="28"/>
        <v>NO</v>
      </c>
      <c r="L77" s="198" t="str">
        <f t="shared" si="28"/>
        <v>NO</v>
      </c>
      <c r="M77" s="198" t="str">
        <f t="shared" si="28"/>
        <v>NO</v>
      </c>
      <c r="N77" s="198" t="str">
        <f t="shared" si="28"/>
        <v>NO</v>
      </c>
      <c r="O77" s="198" t="str">
        <f t="shared" si="28"/>
        <v>NO</v>
      </c>
      <c r="P77" s="198" t="str">
        <f t="shared" si="28"/>
        <v>NO</v>
      </c>
    </row>
    <row r="78" spans="1:17" x14ac:dyDescent="0.25">
      <c r="B78" s="221" t="s">
        <v>166</v>
      </c>
      <c r="C78" s="198" t="str">
        <f t="shared" ref="C78:P78" si="29">+IF((C58)&gt;($C$130/1000),"SI","NO")</f>
        <v>NO</v>
      </c>
      <c r="D78" s="198" t="str">
        <f t="shared" si="29"/>
        <v>NO</v>
      </c>
      <c r="E78" s="198" t="str">
        <f t="shared" si="29"/>
        <v>NO</v>
      </c>
      <c r="F78" s="198" t="str">
        <f t="shared" si="29"/>
        <v>NO</v>
      </c>
      <c r="G78" s="198" t="str">
        <f t="shared" si="29"/>
        <v>NO</v>
      </c>
      <c r="H78" s="198" t="str">
        <f t="shared" si="29"/>
        <v>NO</v>
      </c>
      <c r="I78" s="198" t="str">
        <f t="shared" si="29"/>
        <v>NO</v>
      </c>
      <c r="J78" s="198" t="str">
        <f t="shared" si="29"/>
        <v>NO</v>
      </c>
      <c r="K78" s="198" t="str">
        <f t="shared" si="29"/>
        <v>NO</v>
      </c>
      <c r="L78" s="198" t="str">
        <f t="shared" si="29"/>
        <v>NO</v>
      </c>
      <c r="M78" s="198" t="str">
        <f t="shared" si="29"/>
        <v>NO</v>
      </c>
      <c r="N78" s="198" t="str">
        <f t="shared" si="29"/>
        <v>NO</v>
      </c>
      <c r="O78" s="198" t="str">
        <f t="shared" si="29"/>
        <v>NO</v>
      </c>
      <c r="P78" s="198" t="str">
        <f t="shared" si="29"/>
        <v>NO</v>
      </c>
    </row>
    <row r="79" spans="1:17" x14ac:dyDescent="0.25">
      <c r="B79" s="221" t="s">
        <v>167</v>
      </c>
      <c r="C79" s="198" t="str">
        <f t="shared" ref="C79:P79" si="30">+IF((C59)&gt;($C$130/1000),"SI","NO")</f>
        <v>NO</v>
      </c>
      <c r="D79" s="198" t="str">
        <f t="shared" si="30"/>
        <v>NO</v>
      </c>
      <c r="E79" s="198" t="str">
        <f t="shared" si="30"/>
        <v>NO</v>
      </c>
      <c r="F79" s="198" t="str">
        <f t="shared" si="30"/>
        <v>NO</v>
      </c>
      <c r="G79" s="198" t="str">
        <f t="shared" si="30"/>
        <v>NO</v>
      </c>
      <c r="H79" s="198" t="str">
        <f t="shared" si="30"/>
        <v>NO</v>
      </c>
      <c r="I79" s="198" t="str">
        <f t="shared" si="30"/>
        <v>NO</v>
      </c>
      <c r="J79" s="198" t="str">
        <f t="shared" si="30"/>
        <v>NO</v>
      </c>
      <c r="K79" s="198" t="str">
        <f t="shared" si="30"/>
        <v>NO</v>
      </c>
      <c r="L79" s="198" t="str">
        <f t="shared" si="30"/>
        <v>NO</v>
      </c>
      <c r="M79" s="198" t="str">
        <f t="shared" si="30"/>
        <v>NO</v>
      </c>
      <c r="N79" s="198" t="str">
        <f t="shared" si="30"/>
        <v>NO</v>
      </c>
      <c r="O79" s="198" t="str">
        <f t="shared" si="30"/>
        <v>NO</v>
      </c>
      <c r="P79" s="198" t="str">
        <f t="shared" si="30"/>
        <v>NO</v>
      </c>
    </row>
    <row r="80" spans="1:17" x14ac:dyDescent="0.25">
      <c r="B80" s="200" t="s">
        <v>169</v>
      </c>
      <c r="C80" s="198" t="str">
        <f t="shared" ref="C80:P80" si="31">+IF((C60)&gt;($C$130/1000),"SI","NO")</f>
        <v>NO</v>
      </c>
      <c r="D80" s="198" t="str">
        <f t="shared" si="31"/>
        <v>NO</v>
      </c>
      <c r="E80" s="198" t="str">
        <f t="shared" si="31"/>
        <v>NO</v>
      </c>
      <c r="F80" s="198" t="str">
        <f t="shared" si="31"/>
        <v>NO</v>
      </c>
      <c r="G80" s="198" t="str">
        <f t="shared" si="31"/>
        <v>NO</v>
      </c>
      <c r="H80" s="198" t="str">
        <f t="shared" si="31"/>
        <v>NO</v>
      </c>
      <c r="I80" s="198" t="str">
        <f t="shared" si="31"/>
        <v>NO</v>
      </c>
      <c r="J80" s="198" t="str">
        <f t="shared" si="31"/>
        <v>NO</v>
      </c>
      <c r="K80" s="198" t="str">
        <f t="shared" si="31"/>
        <v>NO</v>
      </c>
      <c r="L80" s="198" t="str">
        <f t="shared" si="31"/>
        <v>NO</v>
      </c>
      <c r="M80" s="198" t="str">
        <f t="shared" si="31"/>
        <v>NO</v>
      </c>
      <c r="N80" s="198" t="str">
        <f t="shared" si="31"/>
        <v>NO</v>
      </c>
      <c r="O80" s="198" t="str">
        <f t="shared" si="31"/>
        <v>NO</v>
      </c>
      <c r="P80" s="198" t="str">
        <f t="shared" si="31"/>
        <v>NO</v>
      </c>
    </row>
    <row r="81" spans="2:16" x14ac:dyDescent="0.25">
      <c r="B81" s="200" t="s">
        <v>171</v>
      </c>
      <c r="C81" s="198" t="str">
        <f t="shared" ref="C81:P81" si="32">+IF((C61)&gt;($C$130/1000),"SI","NO")</f>
        <v>NO</v>
      </c>
      <c r="D81" s="198" t="str">
        <f t="shared" si="32"/>
        <v>NO</v>
      </c>
      <c r="E81" s="198" t="str">
        <f t="shared" si="32"/>
        <v>NO</v>
      </c>
      <c r="F81" s="198" t="str">
        <f t="shared" si="32"/>
        <v>NO</v>
      </c>
      <c r="G81" s="198" t="str">
        <f t="shared" si="32"/>
        <v>NO</v>
      </c>
      <c r="H81" s="198" t="str">
        <f t="shared" si="32"/>
        <v>NO</v>
      </c>
      <c r="I81" s="198" t="str">
        <f t="shared" si="32"/>
        <v>SI</v>
      </c>
      <c r="J81" s="198" t="str">
        <f t="shared" si="32"/>
        <v>SI</v>
      </c>
      <c r="K81" s="198" t="str">
        <f t="shared" si="32"/>
        <v>NO</v>
      </c>
      <c r="L81" s="198" t="str">
        <f t="shared" si="32"/>
        <v>NO</v>
      </c>
      <c r="M81" s="198" t="str">
        <f t="shared" si="32"/>
        <v>NO</v>
      </c>
      <c r="N81" s="198" t="str">
        <f t="shared" si="32"/>
        <v>NO</v>
      </c>
      <c r="O81" s="198" t="str">
        <f t="shared" si="32"/>
        <v>NO</v>
      </c>
      <c r="P81" s="198" t="str">
        <f t="shared" si="32"/>
        <v>NO</v>
      </c>
    </row>
    <row r="82" spans="2:16" x14ac:dyDescent="0.25">
      <c r="B82" s="198" t="s">
        <v>172</v>
      </c>
      <c r="C82" s="198" t="str">
        <f t="shared" ref="C82:P82" si="33">+IF((C62)&gt;($C$130/1000),"SI","NO")</f>
        <v>NO</v>
      </c>
      <c r="D82" s="198" t="str">
        <f t="shared" si="33"/>
        <v>NO</v>
      </c>
      <c r="E82" s="198" t="str">
        <f t="shared" si="33"/>
        <v>NO</v>
      </c>
      <c r="F82" s="198" t="str">
        <f t="shared" si="33"/>
        <v>NO</v>
      </c>
      <c r="G82" s="198" t="str">
        <f t="shared" si="33"/>
        <v>NO</v>
      </c>
      <c r="H82" s="198" t="str">
        <f t="shared" si="33"/>
        <v>SI</v>
      </c>
      <c r="I82" s="198" t="str">
        <f t="shared" si="33"/>
        <v>SI</v>
      </c>
      <c r="J82" s="198" t="str">
        <f t="shared" si="33"/>
        <v>SI</v>
      </c>
      <c r="K82" s="198" t="str">
        <f t="shared" si="33"/>
        <v>SI</v>
      </c>
      <c r="L82" s="198" t="str">
        <f t="shared" si="33"/>
        <v>NO</v>
      </c>
      <c r="M82" s="198" t="str">
        <f t="shared" si="33"/>
        <v>NO</v>
      </c>
      <c r="N82" s="198" t="str">
        <f t="shared" si="33"/>
        <v>NO</v>
      </c>
      <c r="O82" s="198" t="str">
        <f t="shared" si="33"/>
        <v>NO</v>
      </c>
      <c r="P82" s="198" t="str">
        <f t="shared" si="33"/>
        <v>NO</v>
      </c>
    </row>
    <row r="83" spans="2:16" x14ac:dyDescent="0.25">
      <c r="B83" s="206" t="s">
        <v>173</v>
      </c>
      <c r="C83" s="198" t="str">
        <f t="shared" ref="C83:P83" si="34">+IF((C63)&gt;($C$130/1000),"SI","NO")</f>
        <v>NO</v>
      </c>
      <c r="D83" s="198" t="str">
        <f t="shared" si="34"/>
        <v>NO</v>
      </c>
      <c r="E83" s="198" t="str">
        <f t="shared" si="34"/>
        <v>NO</v>
      </c>
      <c r="F83" s="198" t="str">
        <f t="shared" si="34"/>
        <v>NO</v>
      </c>
      <c r="G83" s="198" t="str">
        <f t="shared" si="34"/>
        <v>NO</v>
      </c>
      <c r="H83" s="198" t="str">
        <f t="shared" si="34"/>
        <v>SI</v>
      </c>
      <c r="I83" s="198" t="str">
        <f t="shared" si="34"/>
        <v>SI</v>
      </c>
      <c r="J83" s="198" t="str">
        <f t="shared" si="34"/>
        <v>SI</v>
      </c>
      <c r="K83" s="198" t="str">
        <f t="shared" si="34"/>
        <v>SI</v>
      </c>
      <c r="L83" s="198" t="str">
        <f t="shared" si="34"/>
        <v>NO</v>
      </c>
      <c r="M83" s="198" t="str">
        <f t="shared" si="34"/>
        <v>NO</v>
      </c>
      <c r="N83" s="198" t="str">
        <f t="shared" si="34"/>
        <v>NO</v>
      </c>
      <c r="O83" s="198" t="str">
        <f t="shared" si="34"/>
        <v>NO</v>
      </c>
      <c r="P83" s="198" t="str">
        <f t="shared" si="34"/>
        <v>NO</v>
      </c>
    </row>
    <row r="86" spans="2:16" hidden="1" x14ac:dyDescent="0.25">
      <c r="B86" s="194">
        <v>1</v>
      </c>
      <c r="C86" s="194">
        <v>2</v>
      </c>
      <c r="D86" s="194">
        <v>3</v>
      </c>
      <c r="E86" s="194">
        <v>4</v>
      </c>
      <c r="F86" s="484">
        <v>5</v>
      </c>
      <c r="G86" s="484"/>
    </row>
    <row r="87" spans="2:16" x14ac:dyDescent="0.25">
      <c r="C87" s="212" t="s">
        <v>188</v>
      </c>
      <c r="D87" s="212" t="s">
        <v>189</v>
      </c>
      <c r="E87" s="212" t="s">
        <v>191</v>
      </c>
      <c r="F87" s="504" t="s">
        <v>192</v>
      </c>
      <c r="G87" s="504"/>
    </row>
    <row r="88" spans="2:16" x14ac:dyDescent="0.25">
      <c r="B88" s="198" t="s">
        <v>155</v>
      </c>
      <c r="C88" s="198">
        <f t="shared" ref="C88:C99" si="35">+COUNTIF(C72:P72,"SI")</f>
        <v>5</v>
      </c>
      <c r="D88" s="200">
        <f>+$C$41</f>
        <v>13.40909090909091</v>
      </c>
      <c r="E88" s="200">
        <f>IF(D88=0,"No considerado",IF((D88-C88)&lt;=0,0,(D88-C88)))</f>
        <v>8.4090909090909101</v>
      </c>
      <c r="F88" s="482">
        <f>IF(D88=0,"No considerado",($C$130*(ROUND(E88,0))/1000)/0.85/0.4)</f>
        <v>24.334382659313722</v>
      </c>
      <c r="G88" s="483"/>
    </row>
    <row r="89" spans="2:16" ht="15.75" thickBot="1" x14ac:dyDescent="0.3">
      <c r="B89" s="198" t="s">
        <v>156</v>
      </c>
      <c r="C89" s="198">
        <f t="shared" si="35"/>
        <v>5</v>
      </c>
      <c r="D89" s="200">
        <f>+$D$41</f>
        <v>11.776645768025078</v>
      </c>
      <c r="E89" s="200">
        <f t="shared" ref="E89:E99" si="36">IF(D89=0,"No considerado",IF((D89-C89)&lt;=0,0,(D89-C89)))</f>
        <v>6.7766457680250785</v>
      </c>
      <c r="F89" s="482">
        <f t="shared" ref="F89:F99" si="37">IF(D89=0,"No considerado",($C$130*(ROUND(E89,0))/1000)/0.85/0.4)</f>
        <v>21.292584826899503</v>
      </c>
      <c r="G89" s="483"/>
    </row>
    <row r="90" spans="2:16" ht="15.75" thickTop="1" x14ac:dyDescent="0.25">
      <c r="B90" s="200" t="s">
        <v>158</v>
      </c>
      <c r="C90" s="198">
        <f>+COUNTIF(C74:P74,"SI")</f>
        <v>3</v>
      </c>
      <c r="D90" s="200">
        <f>+$E$41</f>
        <v>9.7727272727272751</v>
      </c>
      <c r="E90" s="200">
        <f t="shared" si="36"/>
        <v>6.7727272727272751</v>
      </c>
      <c r="F90" s="482">
        <f t="shared" ref="F90:F98" si="38">IF(D90=0,"No considerado",($C$130*(ROUND(E90,0))/1000)/0.85/0.4)</f>
        <v>21.292584826899503</v>
      </c>
      <c r="G90" s="483"/>
      <c r="I90" s="489" t="s">
        <v>193</v>
      </c>
      <c r="J90" s="490"/>
      <c r="K90" s="228"/>
    </row>
    <row r="91" spans="2:16" x14ac:dyDescent="0.25">
      <c r="B91" s="200" t="s">
        <v>162</v>
      </c>
      <c r="C91" s="198">
        <f t="shared" si="35"/>
        <v>0</v>
      </c>
      <c r="D91" s="200">
        <f>+$F$41</f>
        <v>7.0454545454545459</v>
      </c>
      <c r="E91" s="200">
        <f t="shared" si="36"/>
        <v>7.0454545454545459</v>
      </c>
      <c r="F91" s="482">
        <f t="shared" si="38"/>
        <v>21.292584826899503</v>
      </c>
      <c r="G91" s="483"/>
      <c r="I91" s="491"/>
      <c r="J91" s="492"/>
      <c r="K91" s="231"/>
    </row>
    <row r="92" spans="2:16" x14ac:dyDescent="0.25">
      <c r="B92" s="221" t="s">
        <v>164</v>
      </c>
      <c r="C92" s="198">
        <f t="shared" si="35"/>
        <v>0</v>
      </c>
      <c r="D92" s="200">
        <f>+$G$41</f>
        <v>0</v>
      </c>
      <c r="E92" s="200" t="str">
        <f t="shared" si="36"/>
        <v>No considerado</v>
      </c>
      <c r="F92" s="482" t="str">
        <f t="shared" si="38"/>
        <v>No considerado</v>
      </c>
      <c r="G92" s="483"/>
      <c r="I92" s="487" t="s">
        <v>192</v>
      </c>
      <c r="J92" s="488"/>
      <c r="K92" s="235" t="str">
        <f>IF(D2="Off Grid c/baterias",VLOOKUP(I2,B86:G99,5,0),"No aplica")</f>
        <v>No aplica</v>
      </c>
    </row>
    <row r="93" spans="2:16" ht="15.75" thickBot="1" x14ac:dyDescent="0.3">
      <c r="B93" s="224" t="s">
        <v>165</v>
      </c>
      <c r="C93" s="198">
        <f t="shared" si="35"/>
        <v>0</v>
      </c>
      <c r="D93" s="200">
        <f>+$H$41</f>
        <v>0</v>
      </c>
      <c r="E93" s="200" t="str">
        <f t="shared" si="36"/>
        <v>No considerado</v>
      </c>
      <c r="F93" s="482" t="str">
        <f t="shared" si="38"/>
        <v>No considerado</v>
      </c>
      <c r="G93" s="483"/>
      <c r="I93" s="232"/>
      <c r="J93" s="233"/>
      <c r="K93" s="234"/>
    </row>
    <row r="94" spans="2:16" ht="15.75" thickTop="1" x14ac:dyDescent="0.25">
      <c r="B94" s="221" t="s">
        <v>166</v>
      </c>
      <c r="C94" s="198">
        <f t="shared" si="35"/>
        <v>0</v>
      </c>
      <c r="D94" s="200">
        <f>+$I$41</f>
        <v>0</v>
      </c>
      <c r="E94" s="200" t="str">
        <f t="shared" si="36"/>
        <v>No considerado</v>
      </c>
      <c r="F94" s="482" t="str">
        <f t="shared" si="38"/>
        <v>No considerado</v>
      </c>
      <c r="G94" s="483"/>
    </row>
    <row r="95" spans="2:16" ht="23.25" x14ac:dyDescent="0.35">
      <c r="B95" s="221" t="s">
        <v>167</v>
      </c>
      <c r="C95" s="198">
        <f t="shared" si="35"/>
        <v>0</v>
      </c>
      <c r="D95" s="200">
        <f>+$J$41</f>
        <v>0</v>
      </c>
      <c r="E95" s="200" t="str">
        <f>IF(D95=0,"No considerado",IF((D95-C95)&lt;=0,0,(D95-C95)))</f>
        <v>No considerado</v>
      </c>
      <c r="F95" s="482" t="str">
        <f t="shared" si="38"/>
        <v>No considerado</v>
      </c>
      <c r="G95" s="483"/>
      <c r="I95" s="485" t="s">
        <v>194</v>
      </c>
      <c r="J95" s="485"/>
      <c r="K95" s="412">
        <v>3.6</v>
      </c>
      <c r="L95" s="510" t="str">
        <f>+IF(SUM(E88:E99)=0,"Fin iteración","Seguir iternado")</f>
        <v>Seguir iternado</v>
      </c>
      <c r="M95" s="510"/>
      <c r="N95" s="510"/>
    </row>
    <row r="96" spans="2:16" x14ac:dyDescent="0.25">
      <c r="B96" s="200" t="s">
        <v>169</v>
      </c>
      <c r="C96" s="198">
        <f t="shared" si="35"/>
        <v>0</v>
      </c>
      <c r="D96" s="200">
        <f>+$K$41</f>
        <v>6.3636363636363633</v>
      </c>
      <c r="E96" s="200">
        <f t="shared" si="36"/>
        <v>6.3636363636363633</v>
      </c>
      <c r="F96" s="482">
        <f t="shared" si="38"/>
        <v>18.250786994485289</v>
      </c>
      <c r="G96" s="483"/>
      <c r="I96" s="486" t="s">
        <v>218</v>
      </c>
      <c r="J96" s="484"/>
      <c r="K96" s="484"/>
      <c r="L96" s="484"/>
      <c r="M96" s="484"/>
    </row>
    <row r="97" spans="2:17" x14ac:dyDescent="0.25">
      <c r="B97" s="200" t="s">
        <v>171</v>
      </c>
      <c r="C97" s="198">
        <f t="shared" si="35"/>
        <v>2</v>
      </c>
      <c r="D97" s="200">
        <f>+$L$41</f>
        <v>8.8636363636363651</v>
      </c>
      <c r="E97" s="200">
        <f t="shared" si="36"/>
        <v>6.8636363636363651</v>
      </c>
      <c r="F97" s="482">
        <f t="shared" si="38"/>
        <v>21.292584826899503</v>
      </c>
      <c r="G97" s="483"/>
    </row>
    <row r="98" spans="2:17" x14ac:dyDescent="0.25">
      <c r="B98" s="198" t="s">
        <v>172</v>
      </c>
      <c r="C98" s="198">
        <f t="shared" si="35"/>
        <v>4</v>
      </c>
      <c r="D98" s="200">
        <f>+$M$41</f>
        <v>11.363636363636363</v>
      </c>
      <c r="E98" s="200">
        <f t="shared" si="36"/>
        <v>7.3636363636363633</v>
      </c>
      <c r="F98" s="482">
        <f t="shared" si="38"/>
        <v>21.292584826899503</v>
      </c>
      <c r="G98" s="483"/>
    </row>
    <row r="99" spans="2:17" x14ac:dyDescent="0.25">
      <c r="B99" s="206" t="s">
        <v>173</v>
      </c>
      <c r="C99" s="198">
        <f t="shared" si="35"/>
        <v>4</v>
      </c>
      <c r="D99" s="200">
        <f>+$N$41</f>
        <v>13.181818181818183</v>
      </c>
      <c r="E99" s="200">
        <f t="shared" si="36"/>
        <v>9.1818181818181834</v>
      </c>
      <c r="F99" s="482">
        <f t="shared" si="37"/>
        <v>27.376180491727926</v>
      </c>
      <c r="G99" s="483"/>
      <c r="Q99" s="378"/>
    </row>
    <row r="103" spans="2:17" x14ac:dyDescent="0.25">
      <c r="C103" s="211" t="s">
        <v>155</v>
      </c>
      <c r="D103" s="211" t="s">
        <v>156</v>
      </c>
      <c r="E103" s="211" t="s">
        <v>158</v>
      </c>
      <c r="F103" s="211" t="s">
        <v>162</v>
      </c>
      <c r="G103" s="211" t="s">
        <v>164</v>
      </c>
      <c r="H103" s="211" t="s">
        <v>165</v>
      </c>
      <c r="I103" s="211" t="s">
        <v>166</v>
      </c>
      <c r="J103" s="211" t="s">
        <v>167</v>
      </c>
      <c r="K103" s="211" t="s">
        <v>169</v>
      </c>
      <c r="L103" s="211" t="s">
        <v>171</v>
      </c>
      <c r="M103" s="211" t="s">
        <v>172</v>
      </c>
      <c r="N103" s="211" t="s">
        <v>173</v>
      </c>
      <c r="O103" s="212" t="s">
        <v>211</v>
      </c>
    </row>
    <row r="104" spans="2:17" x14ac:dyDescent="0.25">
      <c r="B104" s="216" t="s">
        <v>263</v>
      </c>
      <c r="C104" s="198">
        <v>31</v>
      </c>
      <c r="D104" s="198">
        <v>29</v>
      </c>
      <c r="E104" s="198">
        <v>31</v>
      </c>
      <c r="F104" s="198">
        <v>30</v>
      </c>
      <c r="G104" s="221">
        <v>31</v>
      </c>
      <c r="H104" s="221">
        <v>30</v>
      </c>
      <c r="I104" s="221">
        <v>31</v>
      </c>
      <c r="J104" s="221">
        <v>31</v>
      </c>
      <c r="K104" s="198">
        <v>30</v>
      </c>
      <c r="L104" s="198">
        <v>31</v>
      </c>
      <c r="M104" s="198">
        <v>30</v>
      </c>
      <c r="N104" s="198">
        <v>31</v>
      </c>
    </row>
    <row r="105" spans="2:17" x14ac:dyDescent="0.25">
      <c r="B105" s="207" t="s">
        <v>181</v>
      </c>
      <c r="C105" s="200">
        <f>SUM($C$52:$P$52)*C104</f>
        <v>286.86464740413197</v>
      </c>
      <c r="D105" s="200">
        <f>SUM($C$53:$P$53)*D104</f>
        <v>263.79686833397841</v>
      </c>
      <c r="E105" s="200">
        <f>SUM($C$54:$P$54)*E104</f>
        <v>265.59459867382998</v>
      </c>
      <c r="F105" s="200">
        <f>SUM($C$55:$P$55)*F104</f>
        <v>212.02060625786612</v>
      </c>
      <c r="G105" s="200">
        <f>SUM($C$56:$P$56)*G104</f>
        <v>168.88624123920559</v>
      </c>
      <c r="H105" s="200">
        <f>SUM($C$57:$P$57)*H104</f>
        <v>151.11016729357908</v>
      </c>
      <c r="I105" s="200">
        <f>SUM($C$58:$P$58)*I104</f>
        <v>161.26703587835334</v>
      </c>
      <c r="J105" s="200">
        <f>SUM($C$59:$P$59)*J104</f>
        <v>180.15590348914711</v>
      </c>
      <c r="K105" s="200">
        <f>SUM($C$60:$P$60)*K104</f>
        <v>214.6137618659329</v>
      </c>
      <c r="L105" s="200">
        <f>SUM($C$61:$P$61)*L104</f>
        <v>247.73598776492085</v>
      </c>
      <c r="M105" s="200">
        <f>SUM($C$62:$P$62)*M104</f>
        <v>265.05175249333712</v>
      </c>
      <c r="N105" s="200">
        <f>SUM($C$63:$P$63)*N104</f>
        <v>283.31853053862733</v>
      </c>
      <c r="O105" s="203">
        <f>SUM(C105:N105)</f>
        <v>2700.4161012329096</v>
      </c>
    </row>
    <row r="106" spans="2:17" x14ac:dyDescent="0.25">
      <c r="B106" s="216" t="s">
        <v>210</v>
      </c>
      <c r="C106" s="200">
        <f>+C104*C109</f>
        <v>451.39795910644528</v>
      </c>
      <c r="D106" s="200">
        <f t="shared" ref="D106:N106" si="39">+D104*D109</f>
        <v>370.86698367919917</v>
      </c>
      <c r="E106" s="200">
        <f t="shared" si="39"/>
        <v>328.98495324707028</v>
      </c>
      <c r="F106" s="200">
        <f t="shared" si="39"/>
        <v>229.5243859863281</v>
      </c>
      <c r="G106" s="200">
        <f>+G104*G109</f>
        <v>0</v>
      </c>
      <c r="H106" s="200">
        <f t="shared" si="39"/>
        <v>0</v>
      </c>
      <c r="I106" s="200">
        <f t="shared" si="39"/>
        <v>0</v>
      </c>
      <c r="J106" s="200">
        <f t="shared" si="39"/>
        <v>0</v>
      </c>
      <c r="K106" s="200">
        <f t="shared" si="39"/>
        <v>207.31234863281244</v>
      </c>
      <c r="L106" s="200">
        <f t="shared" si="39"/>
        <v>298.38170178222646</v>
      </c>
      <c r="M106" s="200">
        <f t="shared" si="39"/>
        <v>370.20062255859369</v>
      </c>
      <c r="N106" s="200">
        <f t="shared" si="39"/>
        <v>443.74714624023431</v>
      </c>
      <c r="O106" s="203">
        <f>SUM(C106:N106)</f>
        <v>2700.4161012329096</v>
      </c>
    </row>
    <row r="107" spans="2:17" x14ac:dyDescent="0.25">
      <c r="B107" s="207" t="s">
        <v>182</v>
      </c>
      <c r="C107" s="206">
        <f>$C$41</f>
        <v>13.40909090909091</v>
      </c>
      <c r="D107" s="206">
        <f>$D$41</f>
        <v>11.776645768025078</v>
      </c>
      <c r="E107" s="206">
        <f>$E$41</f>
        <v>9.7727272727272751</v>
      </c>
      <c r="F107" s="206">
        <f>$F$41</f>
        <v>7.0454545454545459</v>
      </c>
      <c r="G107" s="206">
        <f>$G$41</f>
        <v>0</v>
      </c>
      <c r="H107" s="206">
        <f>$H$41</f>
        <v>0</v>
      </c>
      <c r="I107" s="206">
        <f>$I$41</f>
        <v>0</v>
      </c>
      <c r="J107" s="206">
        <f>$J$41</f>
        <v>0</v>
      </c>
      <c r="K107" s="206">
        <f>$K$41</f>
        <v>6.3636363636363633</v>
      </c>
      <c r="L107" s="206">
        <f>$L$41</f>
        <v>8.8636363636363651</v>
      </c>
      <c r="M107" s="206">
        <f>$M$41</f>
        <v>11.363636363636363</v>
      </c>
      <c r="N107" s="206">
        <f>$N$41</f>
        <v>13.181818181818183</v>
      </c>
    </row>
    <row r="108" spans="2:17" x14ac:dyDescent="0.25">
      <c r="B108" s="216" t="s">
        <v>183</v>
      </c>
      <c r="C108" s="200">
        <f t="shared" ref="C108:N108" si="40">+C105/C104</f>
        <v>9.253698303359096</v>
      </c>
      <c r="D108" s="200">
        <f t="shared" si="40"/>
        <v>9.0964437356544288</v>
      </c>
      <c r="E108" s="200">
        <f t="shared" si="40"/>
        <v>8.5675676991558056</v>
      </c>
      <c r="F108" s="200">
        <f t="shared" si="40"/>
        <v>7.0673535419288704</v>
      </c>
      <c r="G108" s="200">
        <f>+G105/G104</f>
        <v>5.4479432657808253</v>
      </c>
      <c r="H108" s="200">
        <f t="shared" si="40"/>
        <v>5.0370055764526365</v>
      </c>
      <c r="I108" s="200">
        <f t="shared" si="40"/>
        <v>5.2021624476888171</v>
      </c>
      <c r="J108" s="200">
        <f t="shared" si="40"/>
        <v>5.8114807577144232</v>
      </c>
      <c r="K108" s="200">
        <f t="shared" si="40"/>
        <v>7.1537920621977635</v>
      </c>
      <c r="L108" s="200">
        <f>+L105/L104</f>
        <v>7.9914834762877698</v>
      </c>
      <c r="M108" s="200">
        <f t="shared" si="40"/>
        <v>8.8350584164445713</v>
      </c>
      <c r="N108" s="200">
        <f t="shared" si="40"/>
        <v>9.1393074367299132</v>
      </c>
    </row>
    <row r="109" spans="2:17" x14ac:dyDescent="0.25">
      <c r="B109" s="216" t="s">
        <v>206</v>
      </c>
      <c r="C109" s="200">
        <f>(C107*$C$130*(1+($C$131/100)))/1000</f>
        <v>14.561224487304687</v>
      </c>
      <c r="D109" s="200">
        <f t="shared" ref="D109:N109" si="41">(D107*$C$130*(1+($C$131/100)))/1000</f>
        <v>12.788516678593075</v>
      </c>
      <c r="E109" s="200">
        <f t="shared" si="41"/>
        <v>10.612417846679687</v>
      </c>
      <c r="F109" s="200">
        <f>(F107*$C$130*(1+($C$131/100)))/1000</f>
        <v>7.6508128662109369</v>
      </c>
      <c r="G109" s="200">
        <f t="shared" si="41"/>
        <v>0</v>
      </c>
      <c r="H109" s="200">
        <f t="shared" si="41"/>
        <v>0</v>
      </c>
      <c r="I109" s="200">
        <f>(I107*$C$130*(1+($C$131/100)))/1000</f>
        <v>0</v>
      </c>
      <c r="J109" s="200">
        <f t="shared" si="41"/>
        <v>0</v>
      </c>
      <c r="K109" s="200">
        <f t="shared" si="41"/>
        <v>6.9104116210937478</v>
      </c>
      <c r="L109" s="200">
        <f>(L107*$C$130*(1+($C$131/100)))/1000</f>
        <v>9.6252161865234349</v>
      </c>
      <c r="M109" s="200">
        <f t="shared" si="41"/>
        <v>12.340020751953123</v>
      </c>
      <c r="N109" s="200">
        <f t="shared" si="41"/>
        <v>14.314424072265624</v>
      </c>
    </row>
    <row r="110" spans="2:17" x14ac:dyDescent="0.25">
      <c r="B110" s="207" t="s">
        <v>184</v>
      </c>
      <c r="C110" s="217">
        <f>IF((C109-C108)&gt;0,(C109-C108),0)</f>
        <v>5.3075261839455905</v>
      </c>
      <c r="D110" s="217">
        <f>IF((D109-D108)&gt;0,(D109-D108),0)</f>
        <v>3.6920729429386459</v>
      </c>
      <c r="E110" s="217">
        <f>IF((E109-E108)&gt;0,(E109-E108),0)</f>
        <v>2.0448501475238814</v>
      </c>
      <c r="F110" s="217">
        <f t="shared" ref="F110:J110" si="42">IF((F109-F108)&gt;0,(F109-F108),0)</f>
        <v>0.58345932428206648</v>
      </c>
      <c r="G110" s="217">
        <f t="shared" si="42"/>
        <v>0</v>
      </c>
      <c r="H110" s="217">
        <f t="shared" si="42"/>
        <v>0</v>
      </c>
      <c r="I110" s="217">
        <f t="shared" si="42"/>
        <v>0</v>
      </c>
      <c r="J110" s="217">
        <f t="shared" si="42"/>
        <v>0</v>
      </c>
      <c r="K110" s="217">
        <f t="shared" ref="K110:M110" si="43">IF((K109-K108)&gt;0,(K109-K108),0)</f>
        <v>0</v>
      </c>
      <c r="L110" s="217">
        <f t="shared" si="43"/>
        <v>1.6337327102356651</v>
      </c>
      <c r="M110" s="217">
        <f t="shared" si="43"/>
        <v>3.5049623355085515</v>
      </c>
      <c r="N110" s="217">
        <f>IF((N109-N108)&gt;0,(N109-N108),0)</f>
        <v>5.1751166355357103</v>
      </c>
    </row>
    <row r="111" spans="2:17" x14ac:dyDescent="0.25">
      <c r="B111" s="218" t="s">
        <v>207</v>
      </c>
      <c r="C111" s="219" t="str">
        <f t="shared" ref="C111:N111" si="44">IF($D$2="Off Grid c/baterias",+$K$92*0.85, "No aplica")</f>
        <v>No aplica</v>
      </c>
      <c r="D111" s="219" t="str">
        <f t="shared" si="44"/>
        <v>No aplica</v>
      </c>
      <c r="E111" s="219" t="str">
        <f t="shared" si="44"/>
        <v>No aplica</v>
      </c>
      <c r="F111" s="219" t="str">
        <f t="shared" si="44"/>
        <v>No aplica</v>
      </c>
      <c r="G111" s="219" t="str">
        <f t="shared" si="44"/>
        <v>No aplica</v>
      </c>
      <c r="H111" s="219" t="str">
        <f t="shared" si="44"/>
        <v>No aplica</v>
      </c>
      <c r="I111" s="219" t="str">
        <f t="shared" si="44"/>
        <v>No aplica</v>
      </c>
      <c r="J111" s="219" t="str">
        <f t="shared" si="44"/>
        <v>No aplica</v>
      </c>
      <c r="K111" s="219" t="str">
        <f t="shared" si="44"/>
        <v>No aplica</v>
      </c>
      <c r="L111" s="219" t="str">
        <f t="shared" si="44"/>
        <v>No aplica</v>
      </c>
      <c r="M111" s="219" t="str">
        <f t="shared" si="44"/>
        <v>No aplica</v>
      </c>
      <c r="N111" s="219" t="str">
        <f t="shared" si="44"/>
        <v>No aplica</v>
      </c>
    </row>
    <row r="112" spans="2:17" x14ac:dyDescent="0.25">
      <c r="B112" s="218" t="s">
        <v>185</v>
      </c>
      <c r="C112" s="219" t="str">
        <f t="shared" ref="C112:N112" si="45">IF($D$2="Off Grid c/baterias",IF((C110*C104+N112)&gt;0,(C110*C104+N112),0),"No aplica")</f>
        <v>No aplica</v>
      </c>
      <c r="D112" s="219" t="str">
        <f t="shared" si="45"/>
        <v>No aplica</v>
      </c>
      <c r="E112" s="219" t="str">
        <f t="shared" si="45"/>
        <v>No aplica</v>
      </c>
      <c r="F112" s="219" t="str">
        <f t="shared" si="45"/>
        <v>No aplica</v>
      </c>
      <c r="G112" s="219" t="str">
        <f t="shared" si="45"/>
        <v>No aplica</v>
      </c>
      <c r="H112" s="219" t="str">
        <f t="shared" si="45"/>
        <v>No aplica</v>
      </c>
      <c r="I112" s="219" t="str">
        <f t="shared" si="45"/>
        <v>No aplica</v>
      </c>
      <c r="J112" s="219" t="str">
        <f t="shared" si="45"/>
        <v>No aplica</v>
      </c>
      <c r="K112" s="219" t="str">
        <f t="shared" si="45"/>
        <v>No aplica</v>
      </c>
      <c r="L112" s="219" t="str">
        <f t="shared" si="45"/>
        <v>No aplica</v>
      </c>
      <c r="M112" s="219" t="str">
        <f t="shared" si="45"/>
        <v>No aplica</v>
      </c>
      <c r="N112" s="219" t="str">
        <f t="shared" si="45"/>
        <v>No aplica</v>
      </c>
    </row>
    <row r="113" spans="1:28" x14ac:dyDescent="0.25">
      <c r="B113" s="218" t="s">
        <v>186</v>
      </c>
      <c r="C113" s="219" t="str">
        <f>IF(C112="No aplica",C112,(C112/C111)*100)</f>
        <v>No aplica</v>
      </c>
      <c r="D113" s="219" t="str">
        <f t="shared" ref="D113:N113" si="46">IF(D112="No aplica",D112,(D112/D111)*100)</f>
        <v>No aplica</v>
      </c>
      <c r="E113" s="219" t="str">
        <f t="shared" si="46"/>
        <v>No aplica</v>
      </c>
      <c r="F113" s="219" t="str">
        <f t="shared" si="46"/>
        <v>No aplica</v>
      </c>
      <c r="G113" s="219" t="str">
        <f t="shared" si="46"/>
        <v>No aplica</v>
      </c>
      <c r="H113" s="219" t="str">
        <f t="shared" si="46"/>
        <v>No aplica</v>
      </c>
      <c r="I113" s="219" t="str">
        <f t="shared" si="46"/>
        <v>No aplica</v>
      </c>
      <c r="J113" s="219" t="str">
        <f t="shared" si="46"/>
        <v>No aplica</v>
      </c>
      <c r="K113" s="219" t="str">
        <f t="shared" si="46"/>
        <v>No aplica</v>
      </c>
      <c r="L113" s="219" t="str">
        <f t="shared" si="46"/>
        <v>No aplica</v>
      </c>
      <c r="M113" s="219" t="str">
        <f t="shared" si="46"/>
        <v>No aplica</v>
      </c>
      <c r="N113" s="219" t="str">
        <f t="shared" si="46"/>
        <v>No aplica</v>
      </c>
    </row>
    <row r="114" spans="1:28" x14ac:dyDescent="0.25">
      <c r="B114" s="250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</row>
    <row r="115" spans="1:28" x14ac:dyDescent="0.25">
      <c r="B115" s="250"/>
      <c r="C115" s="251"/>
      <c r="D115" s="251"/>
      <c r="E115" s="251"/>
      <c r="F115" s="251"/>
      <c r="G115" s="251"/>
      <c r="H115" s="251"/>
      <c r="I115" s="251"/>
      <c r="J115" s="251"/>
      <c r="K115" s="251"/>
      <c r="L115" s="251"/>
      <c r="M115" s="251"/>
      <c r="N115" s="251"/>
    </row>
    <row r="116" spans="1:28" hidden="1" x14ac:dyDescent="0.25">
      <c r="B116" s="214"/>
      <c r="C116" s="252">
        <v>1</v>
      </c>
      <c r="D116" s="252">
        <v>2</v>
      </c>
      <c r="E116" s="252">
        <v>3</v>
      </c>
      <c r="F116" s="252">
        <v>4</v>
      </c>
      <c r="G116" s="252">
        <v>5</v>
      </c>
      <c r="H116" s="252">
        <v>6</v>
      </c>
      <c r="I116" s="252">
        <v>7</v>
      </c>
      <c r="J116" s="252">
        <v>8</v>
      </c>
      <c r="K116" s="252">
        <v>9</v>
      </c>
      <c r="L116" s="252">
        <v>10</v>
      </c>
      <c r="M116" s="252">
        <v>11</v>
      </c>
      <c r="N116" s="252">
        <v>12</v>
      </c>
      <c r="O116" s="252">
        <v>13</v>
      </c>
      <c r="P116" s="252">
        <v>14</v>
      </c>
      <c r="Q116" s="252">
        <v>15</v>
      </c>
      <c r="R116" s="252">
        <v>16</v>
      </c>
      <c r="S116" s="252">
        <v>17</v>
      </c>
      <c r="T116" s="252">
        <v>18</v>
      </c>
      <c r="U116" s="252">
        <v>19</v>
      </c>
      <c r="V116" s="252">
        <v>20</v>
      </c>
      <c r="W116" s="252">
        <v>21</v>
      </c>
      <c r="X116" s="252">
        <v>22</v>
      </c>
      <c r="Y116" s="252">
        <v>23</v>
      </c>
      <c r="Z116" s="252">
        <v>24</v>
      </c>
    </row>
    <row r="117" spans="1:28" x14ac:dyDescent="0.25">
      <c r="A117" s="498" t="str">
        <f>+IF(D2="Off Grid c/baterias","Balance diario","No aplica")</f>
        <v>No aplica</v>
      </c>
      <c r="B117" s="253" t="str">
        <f>+I2</f>
        <v>Enero</v>
      </c>
      <c r="C117" s="217" t="str">
        <f t="shared" ref="C117:L117" si="47">+G51</f>
        <v>10:00</v>
      </c>
      <c r="D117" s="217" t="str">
        <f t="shared" si="47"/>
        <v>11:00</v>
      </c>
      <c r="E117" s="217" t="str">
        <f t="shared" si="47"/>
        <v>12:00</v>
      </c>
      <c r="F117" s="217" t="str">
        <f t="shared" si="47"/>
        <v>13:00</v>
      </c>
      <c r="G117" s="217" t="str">
        <f t="shared" si="47"/>
        <v>14:00</v>
      </c>
      <c r="H117" s="217" t="str">
        <f t="shared" si="47"/>
        <v>15:00</v>
      </c>
      <c r="I117" s="217" t="str">
        <f t="shared" si="47"/>
        <v>16:00</v>
      </c>
      <c r="J117" s="217" t="str">
        <f t="shared" si="47"/>
        <v>17:00</v>
      </c>
      <c r="K117" s="217" t="str">
        <f t="shared" si="47"/>
        <v>18:00</v>
      </c>
      <c r="L117" s="217" t="str">
        <f t="shared" si="47"/>
        <v>19:00</v>
      </c>
      <c r="M117" s="249">
        <v>0.83333333333333337</v>
      </c>
      <c r="N117" s="249">
        <v>0.875</v>
      </c>
      <c r="O117" s="249">
        <v>0.91666666666666696</v>
      </c>
      <c r="P117" s="249">
        <v>0.95833333333333304</v>
      </c>
      <c r="Q117" s="249">
        <v>1</v>
      </c>
      <c r="R117" s="249">
        <v>1.0416666666666701</v>
      </c>
      <c r="S117" s="249">
        <v>1.0833333333333299</v>
      </c>
      <c r="T117" s="249">
        <v>1.12500000000001</v>
      </c>
      <c r="U117" s="249">
        <v>1.1666666666666801</v>
      </c>
      <c r="V117" s="249">
        <v>1.2083333333333499</v>
      </c>
      <c r="W117" s="217" t="str">
        <f>+C51</f>
        <v>6:00</v>
      </c>
      <c r="X117" s="217" t="str">
        <f>+D51</f>
        <v>7:00</v>
      </c>
      <c r="Y117" s="217" t="str">
        <f>+E51</f>
        <v>8:00</v>
      </c>
      <c r="Z117" s="217" t="str">
        <f>+F51</f>
        <v>9:00</v>
      </c>
    </row>
    <row r="118" spans="1:28" x14ac:dyDescent="0.25">
      <c r="A118" s="499"/>
      <c r="B118" s="216" t="s">
        <v>201</v>
      </c>
      <c r="C118" s="217">
        <f>+VLOOKUP(B117,B52:P63,G50,0)</f>
        <v>0.9008414075526826</v>
      </c>
      <c r="D118" s="217">
        <f t="shared" ref="D118:L118" si="48">+VLOOKUP($B$117,$B$52:$P$63,H50,0)</f>
        <v>1.0860121850099109</v>
      </c>
      <c r="E118" s="217">
        <f t="shared" si="48"/>
        <v>1.201938460305757</v>
      </c>
      <c r="F118" s="217">
        <f t="shared" si="48"/>
        <v>1.2206018882274419</v>
      </c>
      <c r="G118" s="217">
        <f t="shared" si="48"/>
        <v>1.1648822320908279</v>
      </c>
      <c r="H118" s="217">
        <f t="shared" si="48"/>
        <v>1.0363609780801131</v>
      </c>
      <c r="I118" s="217">
        <f t="shared" si="48"/>
        <v>0.83602649738887502</v>
      </c>
      <c r="J118" s="217">
        <f t="shared" si="48"/>
        <v>0.55492928447636458</v>
      </c>
      <c r="K118" s="217">
        <f t="shared" si="48"/>
        <v>0.23108677214500822</v>
      </c>
      <c r="L118" s="217">
        <f t="shared" si="48"/>
        <v>4.5044314752837662E-2</v>
      </c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17">
        <f>+VLOOKUP($B$117,$B$52:$P$63,C50,0)</f>
        <v>4.5906664505624894E-3</v>
      </c>
      <c r="X118" s="217">
        <f>+VLOOKUP($B$117,$B$52:$P$63,D50,0)</f>
        <v>6.3685093917647415E-2</v>
      </c>
      <c r="Y118" s="217">
        <f>+VLOOKUP($B$117,$B$52:$P$63,E50,0)</f>
        <v>0.29573134636831916</v>
      </c>
      <c r="Z118" s="217">
        <f>+VLOOKUP($B$117,$B$52:$P$63,F50,0)</f>
        <v>0.61196717659274857</v>
      </c>
    </row>
    <row r="119" spans="1:28" x14ac:dyDescent="0.25">
      <c r="A119" s="499"/>
      <c r="B119" s="216" t="s">
        <v>202</v>
      </c>
      <c r="C119" s="217">
        <f>+$C$130/1000</f>
        <v>1.0342112630208331</v>
      </c>
      <c r="D119" s="217">
        <f t="shared" ref="D119:Z119" si="49">+$C$130/1000</f>
        <v>1.0342112630208331</v>
      </c>
      <c r="E119" s="217">
        <f t="shared" si="49"/>
        <v>1.0342112630208331</v>
      </c>
      <c r="F119" s="217">
        <f t="shared" si="49"/>
        <v>1.0342112630208331</v>
      </c>
      <c r="G119" s="217">
        <f t="shared" si="49"/>
        <v>1.0342112630208331</v>
      </c>
      <c r="H119" s="217">
        <f t="shared" si="49"/>
        <v>1.0342112630208331</v>
      </c>
      <c r="I119" s="217">
        <f t="shared" si="49"/>
        <v>1.0342112630208331</v>
      </c>
      <c r="J119" s="217">
        <f t="shared" si="49"/>
        <v>1.0342112630208331</v>
      </c>
      <c r="K119" s="217">
        <f t="shared" si="49"/>
        <v>1.0342112630208331</v>
      </c>
      <c r="L119" s="217">
        <f t="shared" si="49"/>
        <v>1.0342112630208331</v>
      </c>
      <c r="M119" s="217">
        <f t="shared" si="49"/>
        <v>1.0342112630208331</v>
      </c>
      <c r="N119" s="217">
        <f t="shared" si="49"/>
        <v>1.0342112630208331</v>
      </c>
      <c r="O119" s="217">
        <f t="shared" si="49"/>
        <v>1.0342112630208331</v>
      </c>
      <c r="P119" s="217">
        <f t="shared" si="49"/>
        <v>1.0342112630208331</v>
      </c>
      <c r="Q119" s="217">
        <f t="shared" si="49"/>
        <v>1.0342112630208331</v>
      </c>
      <c r="R119" s="217">
        <f t="shared" si="49"/>
        <v>1.0342112630208331</v>
      </c>
      <c r="S119" s="217">
        <f t="shared" si="49"/>
        <v>1.0342112630208331</v>
      </c>
      <c r="T119" s="217">
        <f t="shared" si="49"/>
        <v>1.0342112630208331</v>
      </c>
      <c r="U119" s="217">
        <f t="shared" si="49"/>
        <v>1.0342112630208331</v>
      </c>
      <c r="V119" s="217">
        <f t="shared" si="49"/>
        <v>1.0342112630208331</v>
      </c>
      <c r="W119" s="217">
        <f t="shared" si="49"/>
        <v>1.0342112630208331</v>
      </c>
      <c r="X119" s="217">
        <f t="shared" si="49"/>
        <v>1.0342112630208331</v>
      </c>
      <c r="Y119" s="217">
        <f t="shared" si="49"/>
        <v>1.0342112630208331</v>
      </c>
      <c r="Z119" s="217">
        <f t="shared" si="49"/>
        <v>1.0342112630208331</v>
      </c>
    </row>
    <row r="120" spans="1:28" x14ac:dyDescent="0.25">
      <c r="A120" s="499"/>
      <c r="B120" s="216" t="s">
        <v>203</v>
      </c>
      <c r="C120" s="217" t="str">
        <f t="shared" ref="C120:H120" si="50">+IF(ROUNDUP(HLOOKUP($B$117,$B$103:$N$113,5,),0)&gt;C116,"Riego","Sin Riego")</f>
        <v>Riego</v>
      </c>
      <c r="D120" s="217" t="str">
        <f t="shared" si="50"/>
        <v>Riego</v>
      </c>
      <c r="E120" s="217" t="str">
        <f t="shared" si="50"/>
        <v>Riego</v>
      </c>
      <c r="F120" s="217" t="str">
        <f t="shared" si="50"/>
        <v>Riego</v>
      </c>
      <c r="G120" s="217" t="str">
        <f t="shared" si="50"/>
        <v>Riego</v>
      </c>
      <c r="H120" s="217" t="str">
        <f t="shared" si="50"/>
        <v>Riego</v>
      </c>
      <c r="I120" s="217" t="str">
        <f t="shared" ref="I120:Z120" si="51">+IF(ROUNDUP(HLOOKUP($B$117,$B$103:$N$113,5,),0)&gt;I116,"Riego","Sin Riego")</f>
        <v>Riego</v>
      </c>
      <c r="J120" s="217" t="str">
        <f t="shared" si="51"/>
        <v>Riego</v>
      </c>
      <c r="K120" s="217" t="str">
        <f t="shared" si="51"/>
        <v>Riego</v>
      </c>
      <c r="L120" s="217" t="str">
        <f t="shared" si="51"/>
        <v>Riego</v>
      </c>
      <c r="M120" s="217" t="str">
        <f t="shared" si="51"/>
        <v>Riego</v>
      </c>
      <c r="N120" s="217" t="str">
        <f t="shared" si="51"/>
        <v>Riego</v>
      </c>
      <c r="O120" s="217" t="str">
        <f t="shared" si="51"/>
        <v>Riego</v>
      </c>
      <c r="P120" s="217" t="str">
        <f t="shared" si="51"/>
        <v>Sin Riego</v>
      </c>
      <c r="Q120" s="217" t="str">
        <f t="shared" si="51"/>
        <v>Sin Riego</v>
      </c>
      <c r="R120" s="217" t="str">
        <f t="shared" si="51"/>
        <v>Sin Riego</v>
      </c>
      <c r="S120" s="217" t="str">
        <f t="shared" si="51"/>
        <v>Sin Riego</v>
      </c>
      <c r="T120" s="217" t="str">
        <f t="shared" si="51"/>
        <v>Sin Riego</v>
      </c>
      <c r="U120" s="217" t="str">
        <f t="shared" si="51"/>
        <v>Sin Riego</v>
      </c>
      <c r="V120" s="217" t="str">
        <f>+IF(ROUNDUP(HLOOKUP($B$117,$B$103:$N$113,5,),0)&gt;V116,"Riego","Sin Riego")</f>
        <v>Sin Riego</v>
      </c>
      <c r="W120" s="217" t="str">
        <f t="shared" si="51"/>
        <v>Sin Riego</v>
      </c>
      <c r="X120" s="217" t="str">
        <f t="shared" si="51"/>
        <v>Sin Riego</v>
      </c>
      <c r="Y120" s="217" t="str">
        <f t="shared" si="51"/>
        <v>Sin Riego</v>
      </c>
      <c r="Z120" s="217" t="str">
        <f t="shared" si="51"/>
        <v>Sin Riego</v>
      </c>
    </row>
    <row r="121" spans="1:28" ht="15" hidden="1" customHeight="1" x14ac:dyDescent="0.25">
      <c r="A121" s="499"/>
      <c r="B121" s="216" t="s">
        <v>200</v>
      </c>
      <c r="C121" s="217">
        <f>IF(C120="Riego",C118-C119,C118)</f>
        <v>-0.1333698554681505</v>
      </c>
      <c r="D121" s="217">
        <f>IF(D120="Riego",D118-D119,D118)</f>
        <v>5.1800921989077819E-2</v>
      </c>
      <c r="E121" s="217">
        <f t="shared" ref="E121" si="52">IF(E120="Riego",E118-E119,E118)</f>
        <v>0.16772719728492391</v>
      </c>
      <c r="F121" s="217">
        <f t="shared" ref="F121:G121" si="53">IF(F120="Riego",F118-F119,F118)</f>
        <v>0.18639062520660876</v>
      </c>
      <c r="G121" s="217">
        <f t="shared" si="53"/>
        <v>0.13067096906999476</v>
      </c>
      <c r="H121" s="217">
        <f t="shared" ref="H121" si="54">IF(H120="Riego",H118-H119,H118)</f>
        <v>2.1497150592799663E-3</v>
      </c>
      <c r="I121" s="217">
        <f t="shared" ref="I121:J121" si="55">IF(I120="Riego",I118-I119,I118)</f>
        <v>-0.19818476563195808</v>
      </c>
      <c r="J121" s="217">
        <f t="shared" si="55"/>
        <v>-0.47928197854446852</v>
      </c>
      <c r="K121" s="217">
        <f t="shared" ref="K121" si="56">IF(K120="Riego",K118-K119,K118)</f>
        <v>-0.80312449087582483</v>
      </c>
      <c r="L121" s="217">
        <f t="shared" ref="L121:M121" si="57">IF(L120="Riego",L118-L119,L118)</f>
        <v>-0.98916694826799545</v>
      </c>
      <c r="M121" s="217">
        <f t="shared" si="57"/>
        <v>-1.0342112630208331</v>
      </c>
      <c r="N121" s="217">
        <f t="shared" ref="N121" si="58">IF(N120="Riego",N118-N119,N118)</f>
        <v>-1.0342112630208331</v>
      </c>
      <c r="O121" s="217">
        <f t="shared" ref="O121:P121" si="59">IF(O120="Riego",O118-O119,O118)</f>
        <v>-1.0342112630208331</v>
      </c>
      <c r="P121" s="217">
        <f t="shared" si="59"/>
        <v>0</v>
      </c>
      <c r="Q121" s="217">
        <f t="shared" ref="Q121" si="60">IF(Q120="Riego",Q118-Q119,Q118)</f>
        <v>0</v>
      </c>
      <c r="R121" s="217">
        <f t="shared" ref="R121:S121" si="61">IF(R120="Riego",R118-R119,R118)</f>
        <v>0</v>
      </c>
      <c r="S121" s="217">
        <f t="shared" si="61"/>
        <v>0</v>
      </c>
      <c r="T121" s="217">
        <f t="shared" ref="T121" si="62">IF(T120="Riego",T118-T119,T118)</f>
        <v>0</v>
      </c>
      <c r="U121" s="217">
        <f t="shared" ref="U121:V121" si="63">IF(U120="Riego",U118-U119,U118)</f>
        <v>0</v>
      </c>
      <c r="V121" s="217">
        <f t="shared" si="63"/>
        <v>0</v>
      </c>
      <c r="W121" s="217">
        <f t="shared" ref="W121" si="64">IF(W120="Riego",W118-W119,W118)</f>
        <v>4.5906664505624894E-3</v>
      </c>
      <c r="X121" s="217">
        <f t="shared" ref="X121" si="65">IF(X120="Riego",X118-X119,X118)</f>
        <v>6.3685093917647415E-2</v>
      </c>
      <c r="Y121" s="217">
        <f>IF(Y120="Riego",Y118-Y119,Y118)</f>
        <v>0.29573134636831916</v>
      </c>
      <c r="Z121" s="217">
        <f>IF(Z120="Riego",Z118-Z119,Z118)</f>
        <v>0.61196717659274857</v>
      </c>
    </row>
    <row r="122" spans="1:28" x14ac:dyDescent="0.25">
      <c r="A122" s="499"/>
      <c r="B122" s="216" t="s">
        <v>198</v>
      </c>
      <c r="C122" s="217" t="str">
        <f>IF($C$111="No aplica","No aplica",IF((C111+C121)&lt;$C$111,(C111+C121),$C$111))</f>
        <v>No aplica</v>
      </c>
      <c r="D122" s="217" t="str">
        <f t="shared" ref="D122:Z122" si="66">IF($C$111="No aplica","No aplica",IF((C122+D121)&lt;$C$111,(C122+D121),$C$111))</f>
        <v>No aplica</v>
      </c>
      <c r="E122" s="217" t="str">
        <f t="shared" si="66"/>
        <v>No aplica</v>
      </c>
      <c r="F122" s="217" t="str">
        <f t="shared" si="66"/>
        <v>No aplica</v>
      </c>
      <c r="G122" s="217" t="str">
        <f>IF($C$111="No aplica","No aplica",IF((F122+G121)&lt;$C$111,(F122+G121),$C$111))</f>
        <v>No aplica</v>
      </c>
      <c r="H122" s="217" t="str">
        <f t="shared" si="66"/>
        <v>No aplica</v>
      </c>
      <c r="I122" s="217" t="str">
        <f t="shared" si="66"/>
        <v>No aplica</v>
      </c>
      <c r="J122" s="217" t="str">
        <f t="shared" si="66"/>
        <v>No aplica</v>
      </c>
      <c r="K122" s="217" t="str">
        <f t="shared" si="66"/>
        <v>No aplica</v>
      </c>
      <c r="L122" s="217" t="str">
        <f t="shared" si="66"/>
        <v>No aplica</v>
      </c>
      <c r="M122" s="217" t="str">
        <f t="shared" si="66"/>
        <v>No aplica</v>
      </c>
      <c r="N122" s="217" t="str">
        <f t="shared" si="66"/>
        <v>No aplica</v>
      </c>
      <c r="O122" s="217" t="str">
        <f t="shared" si="66"/>
        <v>No aplica</v>
      </c>
      <c r="P122" s="217" t="str">
        <f t="shared" si="66"/>
        <v>No aplica</v>
      </c>
      <c r="Q122" s="217" t="str">
        <f t="shared" si="66"/>
        <v>No aplica</v>
      </c>
      <c r="R122" s="217" t="str">
        <f t="shared" si="66"/>
        <v>No aplica</v>
      </c>
      <c r="S122" s="217" t="str">
        <f t="shared" si="66"/>
        <v>No aplica</v>
      </c>
      <c r="T122" s="217" t="str">
        <f t="shared" si="66"/>
        <v>No aplica</v>
      </c>
      <c r="U122" s="217" t="str">
        <f t="shared" si="66"/>
        <v>No aplica</v>
      </c>
      <c r="V122" s="217" t="str">
        <f t="shared" si="66"/>
        <v>No aplica</v>
      </c>
      <c r="W122" s="217" t="str">
        <f t="shared" si="66"/>
        <v>No aplica</v>
      </c>
      <c r="X122" s="217" t="str">
        <f t="shared" si="66"/>
        <v>No aplica</v>
      </c>
      <c r="Y122" s="217" t="str">
        <f t="shared" si="66"/>
        <v>No aplica</v>
      </c>
      <c r="Z122" s="217" t="str">
        <f t="shared" si="66"/>
        <v>No aplica</v>
      </c>
    </row>
    <row r="123" spans="1:28" x14ac:dyDescent="0.25">
      <c r="A123" s="499"/>
      <c r="B123" s="216" t="s">
        <v>213</v>
      </c>
      <c r="C123" s="217" t="str">
        <f>+IF(AND((C120="Sin Riego"),(C122=$C$111)),"Si","")</f>
        <v/>
      </c>
      <c r="D123" s="217" t="str">
        <f t="shared" ref="D123:Z123" si="67">+IF(AND((D120="Sin Riego"),(D122=$C$111)),"Si","")</f>
        <v/>
      </c>
      <c r="E123" s="217" t="str">
        <f t="shared" si="67"/>
        <v/>
      </c>
      <c r="F123" s="217" t="str">
        <f t="shared" si="67"/>
        <v/>
      </c>
      <c r="G123" s="217" t="str">
        <f>+IF(AND((G120="Sin Riego"),(G122=$C$111)),"Si","")</f>
        <v/>
      </c>
      <c r="H123" s="217" t="str">
        <f t="shared" si="67"/>
        <v/>
      </c>
      <c r="I123" s="217" t="str">
        <f t="shared" si="67"/>
        <v/>
      </c>
      <c r="J123" s="217" t="str">
        <f t="shared" si="67"/>
        <v/>
      </c>
      <c r="K123" s="217" t="str">
        <f t="shared" si="67"/>
        <v/>
      </c>
      <c r="L123" s="217" t="str">
        <f t="shared" si="67"/>
        <v/>
      </c>
      <c r="M123" s="217" t="str">
        <f t="shared" si="67"/>
        <v/>
      </c>
      <c r="N123" s="217" t="str">
        <f t="shared" si="67"/>
        <v/>
      </c>
      <c r="O123" s="217" t="str">
        <f t="shared" si="67"/>
        <v/>
      </c>
      <c r="P123" s="217" t="str">
        <f t="shared" si="67"/>
        <v>Si</v>
      </c>
      <c r="Q123" s="217" t="str">
        <f t="shared" si="67"/>
        <v>Si</v>
      </c>
      <c r="R123" s="217" t="str">
        <f t="shared" si="67"/>
        <v>Si</v>
      </c>
      <c r="S123" s="217" t="str">
        <f t="shared" si="67"/>
        <v>Si</v>
      </c>
      <c r="T123" s="217" t="str">
        <f t="shared" si="67"/>
        <v>Si</v>
      </c>
      <c r="U123" s="217" t="str">
        <f t="shared" si="67"/>
        <v>Si</v>
      </c>
      <c r="V123" s="217" t="str">
        <f t="shared" si="67"/>
        <v>Si</v>
      </c>
      <c r="W123" s="217" t="str">
        <f t="shared" si="67"/>
        <v>Si</v>
      </c>
      <c r="X123" s="217" t="str">
        <f t="shared" si="67"/>
        <v>Si</v>
      </c>
      <c r="Y123" s="217" t="str">
        <f t="shared" si="67"/>
        <v>Si</v>
      </c>
      <c r="Z123" s="217" t="str">
        <f t="shared" si="67"/>
        <v>Si</v>
      </c>
    </row>
    <row r="124" spans="1:28" x14ac:dyDescent="0.25">
      <c r="A124" s="499"/>
      <c r="B124" s="216" t="s">
        <v>199</v>
      </c>
      <c r="C124" s="217" t="str">
        <f>IF($C$111="No aplica","No aplica",IF(($Z$122+C121)=$C$111,$C$111,$Z$122+C121))</f>
        <v>No aplica</v>
      </c>
      <c r="D124" s="217" t="str">
        <f t="shared" ref="D124:Z124" si="68">IF($C$111="No aplica","No aplica",IF((C124+D121)&gt;=$C$111,$C$111,(D121+C124)))</f>
        <v>No aplica</v>
      </c>
      <c r="E124" s="217" t="str">
        <f t="shared" si="68"/>
        <v>No aplica</v>
      </c>
      <c r="F124" s="217" t="str">
        <f t="shared" si="68"/>
        <v>No aplica</v>
      </c>
      <c r="G124" s="217" t="str">
        <f t="shared" si="68"/>
        <v>No aplica</v>
      </c>
      <c r="H124" s="217" t="str">
        <f t="shared" si="68"/>
        <v>No aplica</v>
      </c>
      <c r="I124" s="217" t="str">
        <f t="shared" si="68"/>
        <v>No aplica</v>
      </c>
      <c r="J124" s="217" t="str">
        <f t="shared" si="68"/>
        <v>No aplica</v>
      </c>
      <c r="K124" s="217" t="str">
        <f t="shared" si="68"/>
        <v>No aplica</v>
      </c>
      <c r="L124" s="217" t="str">
        <f t="shared" si="68"/>
        <v>No aplica</v>
      </c>
      <c r="M124" s="217" t="str">
        <f t="shared" si="68"/>
        <v>No aplica</v>
      </c>
      <c r="N124" s="217" t="str">
        <f t="shared" si="68"/>
        <v>No aplica</v>
      </c>
      <c r="O124" s="217" t="str">
        <f t="shared" si="68"/>
        <v>No aplica</v>
      </c>
      <c r="P124" s="217" t="str">
        <f t="shared" si="68"/>
        <v>No aplica</v>
      </c>
      <c r="Q124" s="217" t="str">
        <f t="shared" si="68"/>
        <v>No aplica</v>
      </c>
      <c r="R124" s="217" t="str">
        <f t="shared" si="68"/>
        <v>No aplica</v>
      </c>
      <c r="S124" s="217" t="str">
        <f t="shared" si="68"/>
        <v>No aplica</v>
      </c>
      <c r="T124" s="217" t="str">
        <f t="shared" si="68"/>
        <v>No aplica</v>
      </c>
      <c r="U124" s="217" t="str">
        <f t="shared" si="68"/>
        <v>No aplica</v>
      </c>
      <c r="V124" s="217" t="str">
        <f t="shared" si="68"/>
        <v>No aplica</v>
      </c>
      <c r="W124" s="217" t="str">
        <f t="shared" si="68"/>
        <v>No aplica</v>
      </c>
      <c r="X124" s="217" t="str">
        <f t="shared" si="68"/>
        <v>No aplica</v>
      </c>
      <c r="Y124" s="217" t="str">
        <f t="shared" si="68"/>
        <v>No aplica</v>
      </c>
      <c r="Z124" s="217" t="str">
        <f t="shared" si="68"/>
        <v>No aplica</v>
      </c>
    </row>
    <row r="125" spans="1:28" ht="15" hidden="1" customHeight="1" x14ac:dyDescent="0.25">
      <c r="A125" s="499"/>
      <c r="C125" s="254" t="e">
        <f>+C122-C124</f>
        <v>#VALUE!</v>
      </c>
      <c r="D125" s="254" t="e">
        <f t="shared" ref="D125:Z125" si="69">+D122-D124</f>
        <v>#VALUE!</v>
      </c>
      <c r="E125" s="254" t="e">
        <f t="shared" si="69"/>
        <v>#VALUE!</v>
      </c>
      <c r="F125" s="254" t="e">
        <f t="shared" si="69"/>
        <v>#VALUE!</v>
      </c>
      <c r="G125" s="254" t="e">
        <f t="shared" si="69"/>
        <v>#VALUE!</v>
      </c>
      <c r="H125" s="254" t="e">
        <f t="shared" si="69"/>
        <v>#VALUE!</v>
      </c>
      <c r="I125" s="254" t="e">
        <f t="shared" si="69"/>
        <v>#VALUE!</v>
      </c>
      <c r="J125" s="254" t="e">
        <f t="shared" si="69"/>
        <v>#VALUE!</v>
      </c>
      <c r="K125" s="254" t="e">
        <f t="shared" si="69"/>
        <v>#VALUE!</v>
      </c>
      <c r="L125" s="254" t="e">
        <f t="shared" si="69"/>
        <v>#VALUE!</v>
      </c>
      <c r="M125" s="254" t="e">
        <f t="shared" si="69"/>
        <v>#VALUE!</v>
      </c>
      <c r="N125" s="254" t="e">
        <f t="shared" si="69"/>
        <v>#VALUE!</v>
      </c>
      <c r="O125" s="254" t="e">
        <f t="shared" si="69"/>
        <v>#VALUE!</v>
      </c>
      <c r="P125" s="254" t="e">
        <f t="shared" si="69"/>
        <v>#VALUE!</v>
      </c>
      <c r="Q125" s="254" t="e">
        <f t="shared" si="69"/>
        <v>#VALUE!</v>
      </c>
      <c r="R125" s="254" t="e">
        <f t="shared" si="69"/>
        <v>#VALUE!</v>
      </c>
      <c r="S125" s="254" t="e">
        <f t="shared" si="69"/>
        <v>#VALUE!</v>
      </c>
      <c r="T125" s="254" t="e">
        <f t="shared" si="69"/>
        <v>#VALUE!</v>
      </c>
      <c r="U125" s="254" t="e">
        <f t="shared" si="69"/>
        <v>#VALUE!</v>
      </c>
      <c r="V125" s="254" t="e">
        <f t="shared" si="69"/>
        <v>#VALUE!</v>
      </c>
      <c r="W125" s="254" t="e">
        <f t="shared" si="69"/>
        <v>#VALUE!</v>
      </c>
      <c r="X125" s="254" t="e">
        <f t="shared" si="69"/>
        <v>#VALUE!</v>
      </c>
      <c r="Y125" s="254" t="e">
        <f t="shared" si="69"/>
        <v>#VALUE!</v>
      </c>
      <c r="Z125" s="254" t="e">
        <f t="shared" si="69"/>
        <v>#VALUE!</v>
      </c>
    </row>
    <row r="126" spans="1:28" x14ac:dyDescent="0.25">
      <c r="A126" s="499"/>
      <c r="B126" s="216" t="s">
        <v>213</v>
      </c>
      <c r="C126" s="204" t="str">
        <f>IF($C$111="No aplica","No aplica",IF(AND(C125=0,Z125&gt;0),"Recarga",""))</f>
        <v>No aplica</v>
      </c>
      <c r="D126" s="204" t="str">
        <f>IF($C$111="No aplica","No aplica",IF(AND(D125=0,C125&gt;0),"Recarga",""))</f>
        <v>No aplica</v>
      </c>
      <c r="E126" s="204" t="str">
        <f t="shared" ref="E126:Z126" si="70">IF($C$111="No aplica","No aplica",IF(AND(E125=0,D125&gt;0),"Recarga",""))</f>
        <v>No aplica</v>
      </c>
      <c r="F126" s="204" t="str">
        <f>IF($C$111="No aplica","No aplica",IF(AND(F125=0,E125&gt;0),"Recarga",""))</f>
        <v>No aplica</v>
      </c>
      <c r="G126" s="204" t="str">
        <f>IF($C$111="No aplica","No aplica",IF(AND(G125=0,F125&gt;0),"Recarga",""))</f>
        <v>No aplica</v>
      </c>
      <c r="H126" s="204" t="str">
        <f>IF($C$111="No aplica","No aplica",IF(AND(H125=0,G125&gt;0),"Recarga",""))</f>
        <v>No aplica</v>
      </c>
      <c r="I126" s="204" t="str">
        <f t="shared" si="70"/>
        <v>No aplica</v>
      </c>
      <c r="J126" s="204" t="str">
        <f t="shared" si="70"/>
        <v>No aplica</v>
      </c>
      <c r="K126" s="204" t="str">
        <f t="shared" si="70"/>
        <v>No aplica</v>
      </c>
      <c r="L126" s="204" t="str">
        <f t="shared" si="70"/>
        <v>No aplica</v>
      </c>
      <c r="M126" s="204" t="str">
        <f t="shared" si="70"/>
        <v>No aplica</v>
      </c>
      <c r="N126" s="204" t="str">
        <f t="shared" si="70"/>
        <v>No aplica</v>
      </c>
      <c r="O126" s="204" t="str">
        <f t="shared" si="70"/>
        <v>No aplica</v>
      </c>
      <c r="P126" s="204" t="str">
        <f t="shared" si="70"/>
        <v>No aplica</v>
      </c>
      <c r="Q126" s="204" t="str">
        <f t="shared" si="70"/>
        <v>No aplica</v>
      </c>
      <c r="R126" s="204" t="str">
        <f t="shared" si="70"/>
        <v>No aplica</v>
      </c>
      <c r="S126" s="204" t="str">
        <f t="shared" si="70"/>
        <v>No aplica</v>
      </c>
      <c r="T126" s="204" t="str">
        <f t="shared" si="70"/>
        <v>No aplica</v>
      </c>
      <c r="U126" s="204" t="str">
        <f t="shared" si="70"/>
        <v>No aplica</v>
      </c>
      <c r="V126" s="204" t="str">
        <f t="shared" si="70"/>
        <v>No aplica</v>
      </c>
      <c r="W126" s="204" t="str">
        <f t="shared" si="70"/>
        <v>No aplica</v>
      </c>
      <c r="X126" s="204" t="str">
        <f t="shared" si="70"/>
        <v>No aplica</v>
      </c>
      <c r="Y126" s="204" t="str">
        <f t="shared" si="70"/>
        <v>No aplica</v>
      </c>
      <c r="Z126" s="204" t="str">
        <f t="shared" si="70"/>
        <v>No aplica</v>
      </c>
      <c r="AA126" s="216" t="e">
        <f t="shared" ref="AA126:AB126" si="71">+IF(AND(AA125=0,Z125&gt;0),"Recarga","")</f>
        <v>#VALUE!</v>
      </c>
      <c r="AB126" s="216" t="str">
        <f t="shared" si="71"/>
        <v/>
      </c>
    </row>
    <row r="127" spans="1:28" x14ac:dyDescent="0.25">
      <c r="C127" s="254"/>
    </row>
    <row r="129" spans="2:9" x14ac:dyDescent="0.25">
      <c r="B129" s="216" t="s">
        <v>208</v>
      </c>
      <c r="C129" s="255">
        <f>+IF(D2="Off Grid c/baterias",2,0)</f>
        <v>0</v>
      </c>
      <c r="F129" s="476" t="s">
        <v>204</v>
      </c>
      <c r="G129" s="477"/>
      <c r="H129" s="481" t="str">
        <f>IF($D$2="Off Grid c/baterias",(100-100*MIN(C122:Z122)/$C$111),"No aplica")</f>
        <v>No aplica</v>
      </c>
      <c r="I129" s="481"/>
    </row>
    <row r="130" spans="2:9" x14ac:dyDescent="0.25">
      <c r="B130" s="216" t="s">
        <v>209</v>
      </c>
      <c r="C130" s="220">
        <f>+$H$27*1000</f>
        <v>1034.211263020833</v>
      </c>
      <c r="F130" s="477"/>
      <c r="G130" s="477"/>
      <c r="H130" s="481"/>
      <c r="I130" s="481"/>
    </row>
    <row r="131" spans="2:9" x14ac:dyDescent="0.25">
      <c r="B131" s="216" t="s">
        <v>264</v>
      </c>
      <c r="C131" s="413">
        <v>5</v>
      </c>
    </row>
    <row r="133" spans="2:9" x14ac:dyDescent="0.25">
      <c r="B133" s="223"/>
      <c r="C133" s="502"/>
      <c r="D133" s="502"/>
      <c r="E133" s="502"/>
      <c r="F133" s="214"/>
      <c r="G133" s="214"/>
      <c r="H133" s="214"/>
      <c r="I133" s="275"/>
    </row>
    <row r="134" spans="2:9" x14ac:dyDescent="0.25">
      <c r="F134" s="223"/>
      <c r="G134" s="214"/>
      <c r="H134" s="199"/>
      <c r="I134" s="214"/>
    </row>
    <row r="135" spans="2:9" x14ac:dyDescent="0.25">
      <c r="F135" s="214"/>
      <c r="G135" s="214"/>
      <c r="H135" s="214"/>
      <c r="I135" s="214"/>
    </row>
  </sheetData>
  <sheetProtection password="D4A7" sheet="1" objects="1" scenarios="1"/>
  <mergeCells count="40">
    <mergeCell ref="C133:E133"/>
    <mergeCell ref="D2:F2"/>
    <mergeCell ref="B2:C2"/>
    <mergeCell ref="F87:G87"/>
    <mergeCell ref="F88:G88"/>
    <mergeCell ref="B5:P5"/>
    <mergeCell ref="E29:G29"/>
    <mergeCell ref="E30:G30"/>
    <mergeCell ref="E31:G31"/>
    <mergeCell ref="E32:G32"/>
    <mergeCell ref="E25:G25"/>
    <mergeCell ref="E26:G26"/>
    <mergeCell ref="E27:G27"/>
    <mergeCell ref="L95:N95"/>
    <mergeCell ref="F89:G89"/>
    <mergeCell ref="F90:G90"/>
    <mergeCell ref="F94:G94"/>
    <mergeCell ref="F95:G95"/>
    <mergeCell ref="C44:D44"/>
    <mergeCell ref="C45:F45"/>
    <mergeCell ref="A117:A126"/>
    <mergeCell ref="B48:P48"/>
    <mergeCell ref="B69:P69"/>
    <mergeCell ref="F96:G96"/>
    <mergeCell ref="K2:M3"/>
    <mergeCell ref="F129:G130"/>
    <mergeCell ref="B3:C3"/>
    <mergeCell ref="D3:F3"/>
    <mergeCell ref="H129:I130"/>
    <mergeCell ref="F97:G97"/>
    <mergeCell ref="F98:G98"/>
    <mergeCell ref="F99:G99"/>
    <mergeCell ref="F86:G86"/>
    <mergeCell ref="I95:J95"/>
    <mergeCell ref="I96:M96"/>
    <mergeCell ref="I92:J92"/>
    <mergeCell ref="I90:J91"/>
    <mergeCell ref="F91:G91"/>
    <mergeCell ref="F92:G92"/>
    <mergeCell ref="F93:G93"/>
  </mergeCells>
  <dataValidations disablePrompts="1" count="2">
    <dataValidation type="list" allowBlank="1" showInputMessage="1" showErrorMessage="1" sqref="D2:F2" xr:uid="{00000000-0002-0000-0400-000000000000}">
      <formula1>"On Grid,Off Grid,Off Grid c/baterias"</formula1>
    </dataValidation>
    <dataValidation type="list" allowBlank="1" showInputMessage="1" showErrorMessage="1" sqref="D3:F3" xr:uid="{00000000-0002-0000-0400-000001000000}">
      <formula1>"Goteo-cinta,Aspersión"</formula1>
    </dataValidation>
  </dataValidations>
  <pageMargins left="0.7" right="0.7" top="0.75" bottom="0.75" header="0.3" footer="0.3"/>
  <pageSetup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92D050"/>
  </sheetPr>
  <dimension ref="A2:Q230"/>
  <sheetViews>
    <sheetView topLeftCell="A19" workbookViewId="0">
      <selection activeCell="C46" sqref="C46"/>
    </sheetView>
  </sheetViews>
  <sheetFormatPr baseColWidth="10" defaultRowHeight="12.75" x14ac:dyDescent="0.25"/>
  <cols>
    <col min="1" max="1" width="7.85546875" style="66" customWidth="1"/>
    <col min="2" max="2" width="73.5703125" style="66" customWidth="1"/>
    <col min="3" max="3" width="12.85546875" style="66" customWidth="1"/>
    <col min="4" max="4" width="2.85546875" style="66" customWidth="1"/>
    <col min="5" max="5" width="13.42578125" style="66" customWidth="1"/>
    <col min="6" max="6" width="15.5703125" style="67" bestFit="1" customWidth="1"/>
    <col min="7" max="7" width="12.140625" style="67" customWidth="1"/>
    <col min="8" max="8" width="12" style="68" customWidth="1"/>
    <col min="9" max="9" width="8.7109375" style="69" customWidth="1"/>
    <col min="10" max="11" width="5.42578125" style="66" bestFit="1" customWidth="1"/>
    <col min="12" max="12" width="3.7109375" style="66" bestFit="1" customWidth="1"/>
    <col min="13" max="14" width="7.5703125" style="66" customWidth="1"/>
    <col min="15" max="15" width="1.5703125" style="66" customWidth="1"/>
    <col min="16" max="17" width="4.28515625" style="66" bestFit="1" customWidth="1"/>
    <col min="18" max="16384" width="11.42578125" style="66"/>
  </cols>
  <sheetData>
    <row r="2" spans="1:17" x14ac:dyDescent="0.25">
      <c r="E2" s="517" t="s">
        <v>225</v>
      </c>
      <c r="F2" s="517"/>
    </row>
    <row r="3" spans="1:17" x14ac:dyDescent="0.25">
      <c r="E3" s="517"/>
      <c r="F3" s="517"/>
      <c r="I3" s="66"/>
    </row>
    <row r="4" spans="1:17" ht="21.75" customHeight="1" x14ac:dyDescent="0.25">
      <c r="B4" s="76" t="s">
        <v>75</v>
      </c>
      <c r="C4" s="77"/>
      <c r="D4" s="78" t="s">
        <v>53</v>
      </c>
      <c r="E4" s="78"/>
      <c r="F4" s="79"/>
      <c r="G4" s="79"/>
      <c r="H4" s="75"/>
      <c r="O4" s="72"/>
    </row>
    <row r="5" spans="1:17" ht="19.5" customHeight="1" x14ac:dyDescent="0.25">
      <c r="B5" s="414" t="s">
        <v>282</v>
      </c>
      <c r="C5" s="77"/>
      <c r="D5" s="77"/>
      <c r="E5" s="77"/>
      <c r="F5" s="79"/>
      <c r="G5" s="79"/>
      <c r="H5" s="80"/>
      <c r="I5" s="383"/>
      <c r="O5" s="72"/>
    </row>
    <row r="6" spans="1:17" ht="19.5" customHeight="1" x14ac:dyDescent="0.25">
      <c r="B6" s="76"/>
      <c r="C6" s="77"/>
      <c r="D6" s="77"/>
      <c r="E6" s="77"/>
      <c r="F6" s="79"/>
      <c r="G6" s="79"/>
      <c r="H6" s="80"/>
      <c r="I6" s="511"/>
      <c r="J6" s="511"/>
      <c r="K6" s="511"/>
      <c r="O6" s="72"/>
    </row>
    <row r="7" spans="1:17" ht="25.5" x14ac:dyDescent="0.25">
      <c r="B7" s="82" t="s">
        <v>76</v>
      </c>
      <c r="C7" s="512" t="s">
        <v>77</v>
      </c>
      <c r="D7" s="513"/>
      <c r="E7" s="83" t="s">
        <v>78</v>
      </c>
      <c r="F7" s="83" t="s">
        <v>79</v>
      </c>
      <c r="G7" s="83" t="s">
        <v>80</v>
      </c>
      <c r="H7" s="84" t="s">
        <v>81</v>
      </c>
      <c r="I7" s="84" t="s">
        <v>82</v>
      </c>
      <c r="K7" s="85"/>
      <c r="L7" s="86"/>
      <c r="M7" s="86"/>
      <c r="N7" s="86"/>
      <c r="O7" s="87"/>
    </row>
    <row r="8" spans="1:17" x14ac:dyDescent="0.25">
      <c r="B8" s="85"/>
      <c r="C8" s="85"/>
      <c r="D8" s="85"/>
      <c r="E8" s="85"/>
      <c r="F8" s="88"/>
      <c r="G8" s="88"/>
      <c r="O8" s="72"/>
    </row>
    <row r="9" spans="1:17" x14ac:dyDescent="0.25">
      <c r="B9" s="76" t="s">
        <v>83</v>
      </c>
      <c r="C9" s="85"/>
      <c r="D9" s="85"/>
      <c r="E9" s="85"/>
      <c r="F9" s="88"/>
      <c r="G9" s="88"/>
      <c r="O9" s="72"/>
    </row>
    <row r="10" spans="1:17" x14ac:dyDescent="0.25">
      <c r="A10" s="89"/>
      <c r="B10" s="78"/>
      <c r="C10" s="77"/>
      <c r="D10" s="77"/>
      <c r="E10" s="79"/>
      <c r="F10" s="79"/>
      <c r="G10" s="79"/>
      <c r="H10" s="75"/>
      <c r="I10" s="90"/>
      <c r="J10" s="90"/>
      <c r="K10" s="90"/>
      <c r="L10" s="90"/>
      <c r="M10" s="90"/>
      <c r="N10" s="90"/>
      <c r="O10" s="91"/>
      <c r="P10" s="86"/>
      <c r="Q10" s="86"/>
    </row>
    <row r="11" spans="1:17" ht="17.25" customHeight="1" x14ac:dyDescent="0.25">
      <c r="A11" s="69"/>
      <c r="B11" s="92" t="s">
        <v>84</v>
      </c>
      <c r="C11" s="93"/>
      <c r="D11" s="93"/>
      <c r="E11" s="93"/>
      <c r="F11" s="94" t="s">
        <v>53</v>
      </c>
      <c r="G11" s="95">
        <f>SUM(F13:F31)</f>
        <v>0</v>
      </c>
      <c r="O11" s="72"/>
      <c r="P11" s="86"/>
      <c r="Q11" s="86"/>
    </row>
    <row r="12" spans="1:17" ht="17.25" customHeight="1" x14ac:dyDescent="0.25">
      <c r="A12" s="69"/>
      <c r="B12" s="189" t="s">
        <v>132</v>
      </c>
      <c r="C12" s="77"/>
      <c r="D12" s="77"/>
      <c r="E12" s="77"/>
      <c r="F12" s="190"/>
      <c r="G12" s="97"/>
      <c r="O12" s="72"/>
      <c r="P12" s="86"/>
      <c r="Q12" s="86"/>
    </row>
    <row r="13" spans="1:17" ht="16.5" customHeight="1" x14ac:dyDescent="0.25">
      <c r="A13" s="89">
        <f>+C62*2</f>
        <v>24</v>
      </c>
      <c r="B13" s="78" t="s">
        <v>59</v>
      </c>
      <c r="C13" s="77">
        <f t="shared" ref="C13:C29" si="0">IF(A13&gt;0,ROUND(A13/6+2,0),0)</f>
        <v>6</v>
      </c>
      <c r="D13" s="77" t="s">
        <v>85</v>
      </c>
      <c r="E13" s="79">
        <f>ROUND(H13*(1-I13/100)*(1-J13/100)*(1-K13/100)*(1-L13/100)*(1-M13/100)*(1-N13/100)*(1+$I$5/100),0)</f>
        <v>0</v>
      </c>
      <c r="F13" s="79">
        <f t="shared" ref="F13:F31" si="1">ROUND(C13*E13,0)</f>
        <v>0</v>
      </c>
      <c r="G13" s="79"/>
      <c r="H13" s="415"/>
      <c r="I13" s="434"/>
      <c r="J13" s="90"/>
      <c r="K13" s="90"/>
      <c r="L13" s="90"/>
      <c r="M13" s="90"/>
      <c r="N13" s="90"/>
      <c r="O13" s="91"/>
      <c r="P13" s="86"/>
      <c r="Q13" s="86"/>
    </row>
    <row r="14" spans="1:17" ht="16.5" customHeight="1" x14ac:dyDescent="0.25">
      <c r="A14" s="89">
        <f>IF((POWER(('Diseño goteo-cinta'!$D$61/'Diseño goteo-cinta'!$D$43)/(1000*1.2*3.141592654),0.5)*2000)&lt;=36.6,('Diseño goteo-cinta'!$D$46),0)+A15</f>
        <v>300</v>
      </c>
      <c r="B14" s="78" t="s">
        <v>60</v>
      </c>
      <c r="C14" s="77">
        <f t="shared" si="0"/>
        <v>52</v>
      </c>
      <c r="D14" s="77" t="s">
        <v>85</v>
      </c>
      <c r="E14" s="79">
        <f>ROUND(H14*(1-I14/100)*(1-J14/100)*(1-K14/100)*(1-L14/100)*(1-M14/100)*(1-N14/100)*(1+$I$5/100),0)</f>
        <v>0</v>
      </c>
      <c r="F14" s="79">
        <f t="shared" si="1"/>
        <v>0</v>
      </c>
      <c r="G14" s="79"/>
      <c r="H14" s="415"/>
      <c r="I14" s="434"/>
      <c r="J14" s="90"/>
      <c r="K14" s="90"/>
      <c r="L14" s="90"/>
      <c r="M14" s="90"/>
      <c r="N14" s="90"/>
      <c r="O14" s="91"/>
      <c r="P14" s="86"/>
      <c r="Q14" s="86"/>
    </row>
    <row r="15" spans="1:17" ht="16.5" customHeight="1" x14ac:dyDescent="0.25">
      <c r="A15" s="89">
        <f>(IF(AND((POWER(('Diseño goteo-cinta'!$D$61/'Diseño goteo-cinta'!$D$43)/(1000*1.2*3.141592654),0.5)*2000)&gt;=36.6,((POWER(('Diseño goteo-cinta'!$D$61/'Diseño goteo-cinta'!$D$43)/(1000*1.2*3.141592654),0.5)*2000)&lt;=46.4)),('Diseño goteo-cinta'!$D$46),0))/2+A16</f>
        <v>0</v>
      </c>
      <c r="B15" s="78" t="s">
        <v>61</v>
      </c>
      <c r="C15" s="77">
        <f>IF(A15&gt;0,ROUND(A15/6+2,0),0)</f>
        <v>0</v>
      </c>
      <c r="D15" s="77" t="s">
        <v>85</v>
      </c>
      <c r="E15" s="79">
        <f>ROUND(H15*(1-I15/100)*(1-J15/100)*(1-K15/100)*(1-L15/100)*(1-M15/100)*(1-N15/100)*(1+$I$5/100),0)</f>
        <v>0</v>
      </c>
      <c r="F15" s="79">
        <f t="shared" si="1"/>
        <v>0</v>
      </c>
      <c r="G15" s="79"/>
      <c r="H15" s="415"/>
      <c r="I15" s="434"/>
      <c r="J15" s="90"/>
      <c r="K15" s="90"/>
      <c r="L15" s="90"/>
      <c r="M15" s="90"/>
      <c r="N15" s="90"/>
      <c r="O15" s="91"/>
      <c r="P15" s="86"/>
      <c r="Q15" s="86"/>
    </row>
    <row r="16" spans="1:17" ht="16.5" customHeight="1" x14ac:dyDescent="0.25">
      <c r="A16" s="89">
        <f>IF(AND((POWER(('Diseño goteo-cinta'!$D$61/'Diseño goteo-cinta'!$D$43)/(1000*1.2*3.141592654),0.5)*2000)&gt;=46.4,((POWER(('Diseño goteo-cinta'!$D$61/'Diseño goteo-cinta'!$D$43)/(1000*1.2*3.141592654),0.5)*2000)&lt;=58.6)),('Diseño goteo-cinta'!$D$46),0)/3+A17</f>
        <v>0</v>
      </c>
      <c r="B16" s="78" t="s">
        <v>62</v>
      </c>
      <c r="C16" s="77">
        <f t="shared" si="0"/>
        <v>0</v>
      </c>
      <c r="D16" s="77" t="s">
        <v>85</v>
      </c>
      <c r="E16" s="79">
        <f>ROUND(H16*(1-I16/100)*(1-J16/100)*(1-K16/100)*(1-L16/100)*(1-M16/100)*(1-N16/100)*(1+$I$5/100),0)</f>
        <v>0</v>
      </c>
      <c r="F16" s="79">
        <f t="shared" si="1"/>
        <v>0</v>
      </c>
      <c r="G16" s="79"/>
      <c r="H16" s="415"/>
      <c r="I16" s="434"/>
      <c r="J16" s="90"/>
      <c r="K16" s="90"/>
      <c r="L16" s="90"/>
      <c r="M16" s="90"/>
      <c r="N16" s="90"/>
      <c r="O16" s="91"/>
      <c r="P16" s="86"/>
      <c r="Q16" s="86"/>
    </row>
    <row r="17" spans="1:17" ht="16.5" customHeight="1" x14ac:dyDescent="0.25">
      <c r="A17" s="89">
        <f>IF(AND((POWER(('Diseño goteo-cinta'!$D$61/'Diseño goteo-cinta'!$D$43)/(1000*1.2*3.141592654),0.5)*2000)&gt;=58.6,((POWER(('Diseño goteo-cinta'!$D$61/'Diseño goteo-cinta'!$D$43)/(1000*1.2*3.141592654),0.5)*2000)&lt;=69.8)),('Diseño goteo-cinta'!$D$46),0)/4</f>
        <v>0</v>
      </c>
      <c r="B17" s="78" t="s">
        <v>63</v>
      </c>
      <c r="C17" s="77">
        <f t="shared" si="0"/>
        <v>0</v>
      </c>
      <c r="D17" s="77" t="s">
        <v>85</v>
      </c>
      <c r="E17" s="79">
        <f>ROUND(H17*(1-I17/100)*(1-J17/100)*(1-K17/100)*(1-L17/100)*(1-M17/100)*(1-N17/100)*(1+$I$5/100),0)</f>
        <v>0</v>
      </c>
      <c r="F17" s="79">
        <f t="shared" si="1"/>
        <v>0</v>
      </c>
      <c r="G17" s="79"/>
      <c r="H17" s="415"/>
      <c r="I17" s="434"/>
      <c r="J17" s="90"/>
      <c r="K17" s="90"/>
      <c r="L17" s="90"/>
      <c r="M17" s="90"/>
      <c r="N17" s="90"/>
      <c r="O17" s="91"/>
      <c r="P17" s="86"/>
      <c r="Q17" s="86"/>
    </row>
    <row r="18" spans="1:17" ht="17.25" customHeight="1" x14ac:dyDescent="0.25">
      <c r="A18" s="69"/>
      <c r="B18" s="189" t="s">
        <v>131</v>
      </c>
      <c r="C18" s="77"/>
      <c r="D18" s="77"/>
      <c r="E18" s="77"/>
      <c r="F18" s="190"/>
      <c r="G18" s="97"/>
      <c r="H18" s="416"/>
      <c r="I18" s="435"/>
      <c r="J18" s="69"/>
      <c r="K18" s="69"/>
      <c r="L18" s="69"/>
      <c r="M18" s="69"/>
      <c r="N18" s="69"/>
      <c r="O18" s="72"/>
      <c r="P18" s="86"/>
      <c r="Q18" s="86"/>
    </row>
    <row r="19" spans="1:17" ht="16.5" customHeight="1" x14ac:dyDescent="0.25">
      <c r="A19" s="89">
        <f>IF((POWER('Diseño goteo-cinta'!$D$52/(1000*1.1*3.141592654),0.5)*2000)&lt;=36.6,'Diseño goteo-cinta'!$D$47,0)</f>
        <v>551.66666666666674</v>
      </c>
      <c r="B19" s="78" t="s">
        <v>60</v>
      </c>
      <c r="C19" s="77">
        <f t="shared" ref="C19" si="2">IF(A19&gt;0,ROUND(A19/6+2,0),0)</f>
        <v>94</v>
      </c>
      <c r="D19" s="77" t="s">
        <v>85</v>
      </c>
      <c r="E19" s="79">
        <f t="shared" ref="E19:E25" si="3">ROUND(H19*(1-I19/100)*(1-J19/100)*(1-K19/100)*(1-L19/100)*(1-M19/100)*(1-N19/100)*(1+$I$5/100),0)</f>
        <v>0</v>
      </c>
      <c r="F19" s="79">
        <f t="shared" ref="F19:F22" si="4">ROUND(C19*E19,0)</f>
        <v>0</v>
      </c>
      <c r="G19" s="79"/>
      <c r="H19" s="415"/>
      <c r="I19" s="434"/>
      <c r="J19" s="90"/>
      <c r="K19" s="90"/>
      <c r="L19" s="90"/>
      <c r="M19" s="90"/>
      <c r="N19" s="90"/>
      <c r="O19" s="91"/>
      <c r="P19" s="86"/>
      <c r="Q19" s="86"/>
    </row>
    <row r="20" spans="1:17" ht="16.5" customHeight="1" x14ac:dyDescent="0.25">
      <c r="A20" s="89">
        <f>IF(AND((POWER('Diseño goteo-cinta'!$D$52/(1000*1.1*3.141592654),0.5)*2000)&gt;=36.6,((POWER('Diseño goteo-cinta'!$D$52/(1000*1.1*3.141592654),0.5)*2000)&lt;=46.4)),'Diseño goteo-cinta'!$D$47,0)</f>
        <v>0</v>
      </c>
      <c r="B20" s="78" t="s">
        <v>61</v>
      </c>
      <c r="C20" s="77">
        <f>IF(A20&gt;0,ROUND(A20/6+2,0),0)</f>
        <v>0</v>
      </c>
      <c r="D20" s="77" t="s">
        <v>85</v>
      </c>
      <c r="E20" s="79">
        <f t="shared" si="3"/>
        <v>0</v>
      </c>
      <c r="F20" s="79">
        <f t="shared" si="4"/>
        <v>0</v>
      </c>
      <c r="G20" s="79"/>
      <c r="H20" s="415"/>
      <c r="I20" s="434"/>
      <c r="J20" s="90"/>
      <c r="K20" s="90"/>
      <c r="L20" s="90"/>
      <c r="M20" s="90"/>
      <c r="N20" s="90"/>
      <c r="O20" s="91"/>
      <c r="P20" s="86"/>
      <c r="Q20" s="86"/>
    </row>
    <row r="21" spans="1:17" ht="16.5" customHeight="1" x14ac:dyDescent="0.25">
      <c r="A21" s="89">
        <f>IF(AND((POWER('Diseño goteo-cinta'!$D$52/(1000*1.1*3.141592654),0.5)*2000)&gt;=46.4,((POWER('Diseño goteo-cinta'!$D$52/(1000*1.1*3.141592654),0.5)*2000)&lt;=58.6)),'Diseño goteo-cinta'!$D$47,0)</f>
        <v>0</v>
      </c>
      <c r="B21" s="78" t="s">
        <v>62</v>
      </c>
      <c r="C21" s="77">
        <f t="shared" ref="C21:C22" si="5">IF(A21&gt;0,ROUND(A21/6+2,0),0)</f>
        <v>0</v>
      </c>
      <c r="D21" s="77" t="s">
        <v>85</v>
      </c>
      <c r="E21" s="79">
        <f t="shared" si="3"/>
        <v>0</v>
      </c>
      <c r="F21" s="79">
        <f t="shared" si="4"/>
        <v>0</v>
      </c>
      <c r="G21" s="79"/>
      <c r="H21" s="415"/>
      <c r="I21" s="434"/>
      <c r="J21" s="90"/>
      <c r="K21" s="90"/>
      <c r="L21" s="90"/>
      <c r="M21" s="90"/>
      <c r="N21" s="90"/>
      <c r="O21" s="91"/>
      <c r="P21" s="86"/>
      <c r="Q21" s="86"/>
    </row>
    <row r="22" spans="1:17" ht="16.5" customHeight="1" x14ac:dyDescent="0.25">
      <c r="A22" s="89">
        <f>IF(AND((POWER($A$10/(1000*1.1*3.141592654),0.5)*2000)&gt;=58.6,((POWER($A$10/(1000*1.1*3.141592654),0.5)*2000)&lt;=69.8)),'Diseño goteo-cinta'!$D$47,0)</f>
        <v>0</v>
      </c>
      <c r="B22" s="78" t="s">
        <v>63</v>
      </c>
      <c r="C22" s="77">
        <f t="shared" si="5"/>
        <v>0</v>
      </c>
      <c r="D22" s="77" t="s">
        <v>85</v>
      </c>
      <c r="E22" s="79">
        <f t="shared" si="3"/>
        <v>0</v>
      </c>
      <c r="F22" s="79">
        <f t="shared" si="4"/>
        <v>0</v>
      </c>
      <c r="G22" s="79"/>
      <c r="H22" s="415"/>
      <c r="I22" s="434"/>
      <c r="J22" s="90"/>
      <c r="K22" s="90"/>
      <c r="L22" s="90"/>
      <c r="M22" s="90"/>
      <c r="N22" s="90"/>
      <c r="O22" s="91"/>
      <c r="P22" s="86"/>
      <c r="Q22" s="86"/>
    </row>
    <row r="23" spans="1:17" ht="16.5" hidden="1" customHeight="1" x14ac:dyDescent="0.25">
      <c r="A23" s="89"/>
      <c r="B23" s="78" t="s">
        <v>64</v>
      </c>
      <c r="C23" s="77">
        <f t="shared" si="0"/>
        <v>0</v>
      </c>
      <c r="D23" s="77" t="s">
        <v>85</v>
      </c>
      <c r="E23" s="79">
        <f t="shared" si="3"/>
        <v>16578</v>
      </c>
      <c r="F23" s="79">
        <f t="shared" si="1"/>
        <v>0</v>
      </c>
      <c r="G23" s="79"/>
      <c r="H23" s="417">
        <v>16578</v>
      </c>
      <c r="I23" s="436"/>
      <c r="J23" s="90"/>
      <c r="K23" s="90"/>
      <c r="L23" s="90"/>
      <c r="M23" s="90"/>
      <c r="N23" s="90"/>
      <c r="O23" s="91"/>
      <c r="P23" s="86"/>
      <c r="Q23" s="86"/>
    </row>
    <row r="24" spans="1:17" ht="16.5" hidden="1" customHeight="1" x14ac:dyDescent="0.25">
      <c r="A24" s="89"/>
      <c r="B24" s="78" t="s">
        <v>57</v>
      </c>
      <c r="C24" s="77">
        <f t="shared" si="0"/>
        <v>0</v>
      </c>
      <c r="D24" s="77" t="s">
        <v>85</v>
      </c>
      <c r="E24" s="79">
        <f t="shared" si="3"/>
        <v>19837</v>
      </c>
      <c r="F24" s="79">
        <f t="shared" si="1"/>
        <v>0</v>
      </c>
      <c r="G24" s="79"/>
      <c r="H24" s="417">
        <v>19837</v>
      </c>
      <c r="I24" s="436"/>
      <c r="J24" s="90"/>
      <c r="K24" s="90"/>
      <c r="L24" s="90"/>
      <c r="M24" s="90"/>
      <c r="N24" s="90"/>
      <c r="O24" s="91"/>
      <c r="P24" s="86"/>
      <c r="Q24" s="86"/>
    </row>
    <row r="25" spans="1:17" ht="16.5" hidden="1" customHeight="1" x14ac:dyDescent="0.25">
      <c r="A25" s="89"/>
      <c r="B25" s="78" t="s">
        <v>58</v>
      </c>
      <c r="C25" s="77">
        <f t="shared" si="0"/>
        <v>0</v>
      </c>
      <c r="D25" s="77" t="s">
        <v>85</v>
      </c>
      <c r="E25" s="79">
        <f t="shared" si="3"/>
        <v>29731</v>
      </c>
      <c r="F25" s="79">
        <f t="shared" si="1"/>
        <v>0</v>
      </c>
      <c r="G25" s="79"/>
      <c r="H25" s="417">
        <v>29731</v>
      </c>
      <c r="I25" s="436"/>
      <c r="J25" s="90"/>
      <c r="K25" s="90"/>
      <c r="L25" s="90"/>
      <c r="M25" s="90"/>
      <c r="N25" s="90"/>
      <c r="O25" s="91"/>
      <c r="P25" s="86"/>
      <c r="Q25" s="86"/>
    </row>
    <row r="26" spans="1:17" ht="17.25" customHeight="1" x14ac:dyDescent="0.25">
      <c r="A26" s="69"/>
      <c r="B26" s="189" t="s">
        <v>133</v>
      </c>
      <c r="C26" s="77"/>
      <c r="D26" s="77"/>
      <c r="E26" s="77"/>
      <c r="F26" s="190"/>
      <c r="G26" s="97"/>
      <c r="H26" s="416"/>
      <c r="I26" s="435"/>
      <c r="J26" s="69"/>
      <c r="K26" s="69"/>
      <c r="L26" s="69"/>
      <c r="M26" s="69"/>
      <c r="N26" s="69"/>
      <c r="O26" s="72"/>
      <c r="P26" s="86"/>
      <c r="Q26" s="86"/>
    </row>
    <row r="27" spans="1:17" ht="16.5" customHeight="1" x14ac:dyDescent="0.25">
      <c r="A27" s="89"/>
      <c r="B27" s="78"/>
      <c r="C27" s="77"/>
      <c r="D27" s="77"/>
      <c r="E27" s="79"/>
      <c r="F27" s="79"/>
      <c r="G27" s="79"/>
      <c r="H27" s="418"/>
      <c r="I27" s="436"/>
      <c r="J27" s="90"/>
      <c r="K27" s="90"/>
      <c r="L27" s="90"/>
      <c r="M27" s="90"/>
      <c r="N27" s="90"/>
      <c r="O27" s="91"/>
      <c r="P27" s="86"/>
      <c r="Q27" s="86"/>
    </row>
    <row r="28" spans="1:17" ht="16.5" customHeight="1" x14ac:dyDescent="0.25">
      <c r="A28" s="89">
        <f>IF(B5="Operación manual",0,IF(AND(A31=0,A30=0,A29=0),'Diseño goteo-cinta'!D47*1.1,0))</f>
        <v>0</v>
      </c>
      <c r="B28" s="66" t="s">
        <v>217</v>
      </c>
      <c r="C28" s="77">
        <f t="shared" ref="C28" si="6">IF(A28&gt;0,ROUND(A28/6+2,0),0)</f>
        <v>0</v>
      </c>
      <c r="D28" s="98" t="s">
        <v>85</v>
      </c>
      <c r="E28" s="79">
        <f>ROUND(H28*(1-I28/100)*(1-J28/100)*(1-K28/100)*(1-L28/100)*(1-M28/100)*(1-N28/100)*(1+$I$5/100),0)</f>
        <v>0</v>
      </c>
      <c r="F28" s="79">
        <f t="shared" ref="F28" si="7">ROUND(C28*E28,0)</f>
        <v>0</v>
      </c>
      <c r="G28" s="99"/>
      <c r="H28" s="415"/>
      <c r="I28" s="434"/>
      <c r="J28" s="90"/>
      <c r="K28" s="90"/>
      <c r="L28" s="90"/>
      <c r="M28" s="90"/>
      <c r="N28" s="90"/>
      <c r="O28" s="91"/>
      <c r="P28" s="86"/>
      <c r="Q28" s="86"/>
    </row>
    <row r="29" spans="1:17" s="69" customFormat="1" ht="16.5" customHeight="1" x14ac:dyDescent="0.25">
      <c r="A29" s="89">
        <f>IF(B5="Operación manual",0,IF(AND(('Diseño goteo-cinta'!$D$28+1)&gt;9,('Diseño goteo-cinta'!$D$28+1)&lt;=17),'Diseño goteo-cinta'!$D$47*1.1,0))</f>
        <v>0</v>
      </c>
      <c r="B29" s="78" t="s">
        <v>56</v>
      </c>
      <c r="C29" s="77">
        <f t="shared" si="0"/>
        <v>0</v>
      </c>
      <c r="D29" s="98" t="s">
        <v>85</v>
      </c>
      <c r="E29" s="79">
        <f>ROUND(H29*(1-I29/100)*(1-J29/100)*(1-K29/100)*(1-L29/100)*(1-M29/100)*(1-N29/100)*(1+$I$5/100),0)</f>
        <v>0</v>
      </c>
      <c r="F29" s="79">
        <f t="shared" si="1"/>
        <v>0</v>
      </c>
      <c r="G29" s="99"/>
      <c r="H29" s="415"/>
      <c r="I29" s="434"/>
      <c r="J29" s="90"/>
      <c r="K29" s="90"/>
      <c r="L29" s="90"/>
      <c r="M29" s="90"/>
      <c r="N29" s="90"/>
      <c r="O29" s="91"/>
      <c r="P29" s="86"/>
      <c r="Q29" s="86"/>
    </row>
    <row r="30" spans="1:17" s="69" customFormat="1" ht="16.5" customHeight="1" x14ac:dyDescent="0.25">
      <c r="A30" s="89">
        <f>IF(B5="Operación manual",0,IF(AND(('Diseño goteo-cinta'!$D$28+1)&gt;5,('Diseño goteo-cinta'!$D$28+1)&lt;=9),'Diseño goteo-cinta'!$D$47*1.1,0))</f>
        <v>0</v>
      </c>
      <c r="B30" s="78" t="s">
        <v>55</v>
      </c>
      <c r="C30" s="77">
        <f>IF(A30&gt;0,ROUND(A30/6+2,0),0)</f>
        <v>0</v>
      </c>
      <c r="D30" s="98" t="s">
        <v>85</v>
      </c>
      <c r="E30" s="79">
        <f>ROUND(H30*(1-I30/100)*(1-J30/100)*(1-K30/100)*(1-L30/100)*(1-M30/100)*(1-N30/100)*(1+$I$5/100),0)</f>
        <v>0</v>
      </c>
      <c r="F30" s="79">
        <f t="shared" si="1"/>
        <v>0</v>
      </c>
      <c r="G30" s="99"/>
      <c r="H30" s="415"/>
      <c r="I30" s="434"/>
      <c r="J30" s="90"/>
      <c r="K30" s="90"/>
      <c r="L30" s="90"/>
      <c r="M30" s="90"/>
      <c r="N30" s="90"/>
      <c r="O30" s="91"/>
      <c r="P30" s="86"/>
      <c r="Q30" s="86"/>
    </row>
    <row r="31" spans="1:17" s="69" customFormat="1" ht="16.5" customHeight="1" x14ac:dyDescent="0.25">
      <c r="A31" s="89">
        <f>IF(B5="Operación manual",0,IF(('Diseño goteo-cinta'!$D$28+1)&lt;=5,'Diseño goteo-cinta'!$D$47*1.1,0))</f>
        <v>0</v>
      </c>
      <c r="B31" s="78" t="s">
        <v>54</v>
      </c>
      <c r="C31" s="77">
        <f>IF(A31&gt;0,ROUND(A31/6+2,0),0)</f>
        <v>0</v>
      </c>
      <c r="D31" s="98" t="s">
        <v>85</v>
      </c>
      <c r="E31" s="79">
        <f>ROUND(H31*(1-I31/100)*(1-J31/100)*(1-K31/100)*(1-L31/100)*(1-M31/100)*(1-N31/100)*(1+$I$5/100),0)</f>
        <v>0</v>
      </c>
      <c r="F31" s="79">
        <f t="shared" si="1"/>
        <v>0</v>
      </c>
      <c r="G31" s="99"/>
      <c r="H31" s="415"/>
      <c r="I31" s="434"/>
      <c r="J31" s="90"/>
      <c r="K31" s="90"/>
      <c r="L31" s="90"/>
      <c r="M31" s="90"/>
      <c r="N31" s="90"/>
      <c r="O31" s="91"/>
      <c r="P31" s="86"/>
      <c r="Q31" s="86"/>
    </row>
    <row r="32" spans="1:17" ht="16.5" customHeight="1" x14ac:dyDescent="0.25">
      <c r="A32" s="69"/>
      <c r="B32" s="100"/>
      <c r="C32" s="79"/>
      <c r="D32" s="77"/>
      <c r="E32" s="79"/>
      <c r="F32" s="79"/>
      <c r="G32" s="79"/>
      <c r="H32" s="416"/>
      <c r="I32" s="437"/>
      <c r="J32" s="90"/>
      <c r="O32" s="72"/>
    </row>
    <row r="33" spans="1:17" ht="17.25" customHeight="1" x14ac:dyDescent="0.25">
      <c r="A33" s="69"/>
      <c r="B33" s="102" t="s">
        <v>86</v>
      </c>
      <c r="C33" s="93"/>
      <c r="D33" s="93"/>
      <c r="E33" s="103"/>
      <c r="F33" s="103"/>
      <c r="G33" s="95">
        <f>SUM(F35:F35)</f>
        <v>0</v>
      </c>
      <c r="H33" s="416"/>
      <c r="I33" s="435"/>
      <c r="J33" s="104"/>
      <c r="O33" s="72"/>
      <c r="P33" s="69"/>
      <c r="Q33" s="69"/>
    </row>
    <row r="34" spans="1:17" ht="17.25" customHeight="1" x14ac:dyDescent="0.25">
      <c r="A34" s="69"/>
      <c r="B34" s="191" t="s">
        <v>134</v>
      </c>
      <c r="C34" s="98">
        <f>+'Diseño goteo-cinta'!$G$20</f>
        <v>500</v>
      </c>
      <c r="D34" s="77" t="s">
        <v>3</v>
      </c>
      <c r="E34" s="79"/>
      <c r="F34" s="79"/>
      <c r="G34" s="97"/>
      <c r="H34" s="416"/>
      <c r="I34" s="435"/>
      <c r="J34" s="104"/>
      <c r="O34" s="72"/>
      <c r="P34" s="69"/>
      <c r="Q34" s="69"/>
    </row>
    <row r="35" spans="1:17" ht="15" x14ac:dyDescent="0.25">
      <c r="A35" s="69">
        <f>+'Diseño goteo-cinta'!$D$53</f>
        <v>3672</v>
      </c>
      <c r="B35" s="105" t="str">
        <f>+'Diseño goteo-cinta'!D20</f>
        <v>Línea integral de goteo no compensado 16/35/2 @ 0,5 m.</v>
      </c>
      <c r="C35" s="106">
        <f>ROUNDUP(A35/$C$34,0)*$C$34</f>
        <v>4000</v>
      </c>
      <c r="D35" s="77" t="s">
        <v>3</v>
      </c>
      <c r="E35" s="79">
        <f>ROUND(H35*(1-I35/100)*(1-J35/100)*(1-K35/100)*(1-L35/100)*(1-M35/100)*(1-N35/100)*(1+$I$5/100),0)</f>
        <v>0</v>
      </c>
      <c r="F35" s="79">
        <f>ROUND(C35*E35,0)</f>
        <v>0</v>
      </c>
      <c r="G35" s="79"/>
      <c r="H35" s="419"/>
      <c r="I35" s="438"/>
      <c r="J35" s="90"/>
      <c r="O35" s="72"/>
      <c r="P35" s="69"/>
      <c r="Q35" s="69"/>
    </row>
    <row r="36" spans="1:17" x14ac:dyDescent="0.25">
      <c r="A36" s="69"/>
      <c r="C36" s="107"/>
      <c r="D36" s="77"/>
      <c r="E36" s="79"/>
      <c r="F36" s="79"/>
      <c r="G36" s="79"/>
      <c r="H36" s="416"/>
      <c r="I36" s="437"/>
      <c r="J36" s="90"/>
      <c r="O36" s="72"/>
      <c r="P36" s="69"/>
      <c r="Q36" s="69"/>
    </row>
    <row r="37" spans="1:17" ht="17.25" customHeight="1" x14ac:dyDescent="0.25">
      <c r="A37" s="69"/>
      <c r="B37" s="102" t="s">
        <v>87</v>
      </c>
      <c r="C37" s="108"/>
      <c r="D37" s="93"/>
      <c r="E37" s="103"/>
      <c r="F37" s="103"/>
      <c r="G37" s="95">
        <f>SUM(F38:F47)</f>
        <v>0</v>
      </c>
      <c r="H37" s="416"/>
      <c r="I37" s="439"/>
      <c r="O37" s="72"/>
    </row>
    <row r="38" spans="1:17" s="69" customFormat="1" x14ac:dyDescent="0.25">
      <c r="B38" s="71" t="s">
        <v>65</v>
      </c>
      <c r="C38" s="69">
        <f>SUM(C40:C43)</f>
        <v>12</v>
      </c>
      <c r="D38" s="69" t="s">
        <v>85</v>
      </c>
      <c r="E38" s="67">
        <f t="shared" ref="E38:E47" si="8">ROUND(H38*(1-I38/100)*(1-J38/100)*(1-K38/100)*(1-L38/100)*(1-M38/100)*(1-N38/100)*(1+$I$5/100),0)</f>
        <v>0</v>
      </c>
      <c r="F38" s="68">
        <f t="shared" ref="F38:F47" si="9">ROUND(C38*E38,0)</f>
        <v>0</v>
      </c>
      <c r="G38" s="68"/>
      <c r="H38" s="415"/>
      <c r="I38" s="423"/>
      <c r="O38" s="72"/>
      <c r="P38" s="66"/>
      <c r="Q38" s="66"/>
    </row>
    <row r="39" spans="1:17" s="69" customFormat="1" x14ac:dyDescent="0.25">
      <c r="B39" s="69" t="s">
        <v>88</v>
      </c>
      <c r="C39" s="69">
        <f>IF(SUM(A19:A22)/200&gt;0,(ROUND((SUM(A19:A22)/200),0)),0)+1</f>
        <v>4</v>
      </c>
      <c r="D39" s="69" t="s">
        <v>85</v>
      </c>
      <c r="E39" s="68">
        <f t="shared" si="8"/>
        <v>0</v>
      </c>
      <c r="F39" s="68">
        <f t="shared" si="9"/>
        <v>0</v>
      </c>
      <c r="G39" s="68"/>
      <c r="H39" s="415"/>
      <c r="I39" s="423"/>
      <c r="O39" s="72"/>
    </row>
    <row r="40" spans="1:17" s="69" customFormat="1" x14ac:dyDescent="0.25">
      <c r="B40" s="105" t="s">
        <v>89</v>
      </c>
      <c r="C40" s="69">
        <f>C47</f>
        <v>0</v>
      </c>
      <c r="D40" s="69" t="s">
        <v>85</v>
      </c>
      <c r="E40" s="67">
        <f t="shared" si="8"/>
        <v>0</v>
      </c>
      <c r="F40" s="68">
        <f t="shared" si="9"/>
        <v>0</v>
      </c>
      <c r="G40" s="68"/>
      <c r="H40" s="415"/>
      <c r="I40" s="423"/>
      <c r="O40" s="72"/>
      <c r="P40" s="66"/>
      <c r="Q40" s="66"/>
    </row>
    <row r="41" spans="1:17" s="69" customFormat="1" x14ac:dyDescent="0.25">
      <c r="B41" s="105" t="s">
        <v>66</v>
      </c>
      <c r="C41" s="69">
        <f>C46</f>
        <v>0</v>
      </c>
      <c r="D41" s="69" t="s">
        <v>85</v>
      </c>
      <c r="E41" s="67">
        <f t="shared" si="8"/>
        <v>0</v>
      </c>
      <c r="F41" s="68">
        <f t="shared" si="9"/>
        <v>0</v>
      </c>
      <c r="G41" s="68"/>
      <c r="H41" s="415"/>
      <c r="I41" s="423"/>
      <c r="O41" s="72"/>
      <c r="P41" s="66"/>
      <c r="Q41" s="66"/>
    </row>
    <row r="42" spans="1:17" s="69" customFormat="1" x14ac:dyDescent="0.25">
      <c r="B42" s="105" t="s">
        <v>90</v>
      </c>
      <c r="C42" s="69">
        <f>C45</f>
        <v>0</v>
      </c>
      <c r="D42" s="69" t="s">
        <v>85</v>
      </c>
      <c r="E42" s="67">
        <f>ROUND(H42*(1-I42/100)*(1-J42/100)*(1-K42/100)*(1-L42/100)*(1-M42/100)*(1-N42/100)*(1+$I$5/100),0)</f>
        <v>0</v>
      </c>
      <c r="F42" s="68">
        <f t="shared" si="9"/>
        <v>0</v>
      </c>
      <c r="G42" s="68"/>
      <c r="H42" s="415"/>
      <c r="I42" s="423"/>
      <c r="O42" s="72"/>
      <c r="P42" s="66"/>
      <c r="Q42" s="66"/>
    </row>
    <row r="43" spans="1:17" s="69" customFormat="1" x14ac:dyDescent="0.25">
      <c r="B43" s="105" t="s">
        <v>135</v>
      </c>
      <c r="C43" s="69">
        <f>C44</f>
        <v>12</v>
      </c>
      <c r="D43" s="69" t="s">
        <v>85</v>
      </c>
      <c r="E43" s="67">
        <f t="shared" si="8"/>
        <v>0</v>
      </c>
      <c r="F43" s="68">
        <f t="shared" si="9"/>
        <v>0</v>
      </c>
      <c r="G43" s="68"/>
      <c r="H43" s="415"/>
      <c r="I43" s="423"/>
      <c r="O43" s="72"/>
      <c r="P43" s="66"/>
      <c r="Q43" s="66"/>
    </row>
    <row r="44" spans="1:17" s="69" customFormat="1" x14ac:dyDescent="0.25">
      <c r="B44" s="69" t="str">
        <f>+IF(B5="Operación automática","Válvula solenoide 1¨", "Válvula bola 1¨")</f>
        <v>Válvula bola 1¨</v>
      </c>
      <c r="C44" s="69">
        <f>+IF(AND(('Diseño goteo-cinta'!$D$52/'Diseño goteo-cinta'!$D$43)&gt;=0.01,('Diseño goteo-cinta'!$D$52/'Diseño goteo-cinta'!$D$43)&lt;=1),('Diseño goteo-cinta'!D28*'Diseño goteo-cinta'!D43),0)</f>
        <v>12</v>
      </c>
      <c r="D44" s="69" t="s">
        <v>85</v>
      </c>
      <c r="E44" s="67">
        <f t="shared" si="8"/>
        <v>0</v>
      </c>
      <c r="F44" s="68">
        <f t="shared" ref="F44" si="10">ROUND(C44*E44,0)</f>
        <v>0</v>
      </c>
      <c r="G44" s="68"/>
      <c r="H44" s="415"/>
      <c r="I44" s="423"/>
      <c r="O44" s="72"/>
      <c r="P44" s="66"/>
      <c r="Q44" s="66"/>
    </row>
    <row r="45" spans="1:17" s="69" customFormat="1" x14ac:dyDescent="0.25">
      <c r="B45" s="69" t="str">
        <f>+IF(B5="Operación automática","Válvula solenoide 1 1/2¨", "Válvula bola 1 1/2¨")</f>
        <v>Válvula bola 1 1/2¨</v>
      </c>
      <c r="C45" s="69">
        <f>+IF(AND(('Diseño goteo-cinta'!$D$52/'Diseño goteo-cinta'!$D$43)&gt;=1,('Diseño goteo-cinta'!$D$52/'Diseño goteo-cinta'!$D$43)&lt;=3.5),('Diseño goteo-cinta'!$D$28*'Diseño goteo-cinta'!$D$43),0)</f>
        <v>0</v>
      </c>
      <c r="D45" s="69" t="s">
        <v>85</v>
      </c>
      <c r="E45" s="67">
        <f t="shared" si="8"/>
        <v>0</v>
      </c>
      <c r="F45" s="68">
        <f t="shared" si="9"/>
        <v>0</v>
      </c>
      <c r="G45" s="68"/>
      <c r="H45" s="415"/>
      <c r="I45" s="423"/>
      <c r="O45" s="72"/>
      <c r="P45" s="66"/>
      <c r="Q45" s="66"/>
    </row>
    <row r="46" spans="1:17" s="69" customFormat="1" x14ac:dyDescent="0.25">
      <c r="B46" s="69" t="str">
        <f>+IF(B5="Operación automática","Válvula solenoide 2¨", "Válvula bola 2¨")</f>
        <v>Válvula bola 2¨</v>
      </c>
      <c r="C46" s="69">
        <f>+IF(AND(('Diseño goteo-cinta'!$D$52/'Diseño goteo-cinta'!$D$43)&gt;=3.51,('Diseño goteo-cinta'!$D$52/'Diseño goteo-cinta'!$D$43)&lt;=6.2),('Diseño goteo-cinta'!$D$28*'Diseño goteo-cinta'!$D$43),0)</f>
        <v>0</v>
      </c>
      <c r="D46" s="69" t="s">
        <v>85</v>
      </c>
      <c r="E46" s="67">
        <f t="shared" si="8"/>
        <v>0</v>
      </c>
      <c r="F46" s="68">
        <f t="shared" si="9"/>
        <v>0</v>
      </c>
      <c r="G46" s="68"/>
      <c r="H46" s="415"/>
      <c r="I46" s="423"/>
      <c r="O46" s="72"/>
      <c r="P46" s="66"/>
      <c r="Q46" s="66"/>
    </row>
    <row r="47" spans="1:17" s="69" customFormat="1" x14ac:dyDescent="0.25">
      <c r="B47" s="69" t="str">
        <f>+IF(B5="Operación automática","Válvula solenoide 2 1/2¨", "Válvula bola 2 1/2¨")</f>
        <v>Válvula bola 2 1/2¨</v>
      </c>
      <c r="C47" s="69">
        <f>+IF(AND(('Diseño goteo-cinta'!$D$52/'Diseño goteo-cinta'!$D$43)&gt;=6.21,('Diseño goteo-cinta'!$D$52/'Diseño goteo-cinta'!$D$43)&lt;=9),('Diseño goteo-cinta'!$D$28*'Diseño goteo-cinta'!$D$43),0)</f>
        <v>0</v>
      </c>
      <c r="D47" s="69" t="s">
        <v>85</v>
      </c>
      <c r="E47" s="67">
        <f t="shared" si="8"/>
        <v>0</v>
      </c>
      <c r="F47" s="68">
        <f t="shared" si="9"/>
        <v>0</v>
      </c>
      <c r="G47" s="68"/>
      <c r="H47" s="415"/>
      <c r="I47" s="423"/>
      <c r="O47" s="72"/>
      <c r="P47" s="66"/>
      <c r="Q47" s="66"/>
    </row>
    <row r="48" spans="1:17" s="69" customFormat="1" x14ac:dyDescent="0.25">
      <c r="B48" s="105"/>
      <c r="E48" s="68"/>
      <c r="F48" s="68"/>
      <c r="G48" s="68"/>
      <c r="H48" s="416"/>
      <c r="I48" s="437"/>
      <c r="O48" s="72"/>
    </row>
    <row r="49" spans="1:17" s="56" customFormat="1" x14ac:dyDescent="0.25">
      <c r="B49" s="110" t="s">
        <v>91</v>
      </c>
      <c r="C49" s="111"/>
      <c r="D49" s="111"/>
      <c r="E49" s="112"/>
      <c r="F49" s="113"/>
      <c r="G49" s="114">
        <f>SUM(F50:F53)</f>
        <v>0</v>
      </c>
      <c r="H49" s="420"/>
      <c r="I49" s="440"/>
      <c r="O49" s="72"/>
    </row>
    <row r="50" spans="1:17" s="56" customFormat="1" x14ac:dyDescent="0.25">
      <c r="B50" s="117" t="s">
        <v>92</v>
      </c>
      <c r="C50" s="115">
        <f>1.05*2*SUM(A14:A17)/('Diseño goteo-cinta'!$D$13/'Diseño goteo-cinta'!$D$23)</f>
        <v>252</v>
      </c>
      <c r="D50" s="56" t="s">
        <v>85</v>
      </c>
      <c r="E50" s="115">
        <f>ROUND(H50*(1-I50/100)*(1-J50/100)*(1-K50/100)*(1-L50/100)*(1-M50/100)*(1-N50/100)*(1+$I$5/100),0)</f>
        <v>0</v>
      </c>
      <c r="F50" s="115">
        <f>ROUND(C50*E50,0)</f>
        <v>0</v>
      </c>
      <c r="G50" s="115"/>
      <c r="H50" s="419"/>
      <c r="I50" s="441"/>
      <c r="O50" s="72"/>
    </row>
    <row r="51" spans="1:17" s="56" customFormat="1" x14ac:dyDescent="0.25">
      <c r="B51" s="56" t="s">
        <v>93</v>
      </c>
      <c r="C51" s="118">
        <f>+C50</f>
        <v>252</v>
      </c>
      <c r="D51" s="56" t="s">
        <v>85</v>
      </c>
      <c r="E51" s="115">
        <f>ROUND(H51*(1-I51/100)*(1-J51/100)*(1-K51/100)*(1-L51/100)*(1-M51/100)*(1-N51/100)*(1+$I$5/100),0)</f>
        <v>0</v>
      </c>
      <c r="F51" s="115">
        <f>ROUND(C51*E51,0)</f>
        <v>0</v>
      </c>
      <c r="G51" s="115"/>
      <c r="H51" s="421"/>
      <c r="I51" s="441"/>
      <c r="O51" s="72"/>
    </row>
    <row r="52" spans="1:17" s="56" customFormat="1" x14ac:dyDescent="0.25">
      <c r="B52" s="119" t="s">
        <v>72</v>
      </c>
      <c r="C52" s="118">
        <f>+C50</f>
        <v>252</v>
      </c>
      <c r="D52" s="56" t="s">
        <v>85</v>
      </c>
      <c r="E52" s="115">
        <f>ROUND(H52*(1-I52/100)*(1-J52/100)*(1-K52/100)*(1-L52/100)*(1-M52/100)*(1-N52/100)*(1+$I$5/100),0)</f>
        <v>0</v>
      </c>
      <c r="F52" s="115">
        <f>ROUND(C52*E52,0)</f>
        <v>0</v>
      </c>
      <c r="G52" s="115"/>
      <c r="H52" s="421"/>
      <c r="I52" s="441"/>
      <c r="O52" s="72"/>
    </row>
    <row r="53" spans="1:17" s="56" customFormat="1" x14ac:dyDescent="0.25">
      <c r="B53" s="119" t="s">
        <v>73</v>
      </c>
      <c r="C53" s="118">
        <f>+C50</f>
        <v>252</v>
      </c>
      <c r="D53" s="56" t="s">
        <v>85</v>
      </c>
      <c r="E53" s="115">
        <f>ROUND(H53*(1-I53/100)*(1-J53/100)*(1-K53/100)*(1-L53/100)*(1-M53/100)*(1-N53/100)*(1+$I$5/100),0)</f>
        <v>0</v>
      </c>
      <c r="F53" s="115">
        <f>ROUND(C53*E53,0)</f>
        <v>0</v>
      </c>
      <c r="G53" s="115"/>
      <c r="H53" s="421"/>
      <c r="I53" s="441"/>
      <c r="O53" s="72"/>
    </row>
    <row r="54" spans="1:17" x14ac:dyDescent="0.25">
      <c r="A54" s="69"/>
      <c r="B54" s="73"/>
      <c r="C54" s="118"/>
      <c r="E54" s="67"/>
      <c r="F54" s="120"/>
      <c r="H54" s="416"/>
      <c r="I54" s="437"/>
      <c r="J54" s="69"/>
      <c r="L54" s="69"/>
      <c r="M54" s="69"/>
      <c r="N54" s="69"/>
      <c r="O54" s="72"/>
    </row>
    <row r="55" spans="1:17" x14ac:dyDescent="0.25">
      <c r="A55" s="69"/>
      <c r="B55" s="102" t="s">
        <v>94</v>
      </c>
      <c r="C55" s="108"/>
      <c r="D55" s="93"/>
      <c r="E55" s="103"/>
      <c r="F55" s="121"/>
      <c r="G55" s="96">
        <f>SUM(F56:F57)</f>
        <v>0</v>
      </c>
      <c r="H55" s="416"/>
      <c r="I55" s="435"/>
      <c r="J55" s="69"/>
      <c r="L55" s="69"/>
      <c r="M55" s="69"/>
      <c r="N55" s="69"/>
      <c r="O55" s="72"/>
      <c r="P55" s="69"/>
      <c r="Q55" s="69"/>
    </row>
    <row r="56" spans="1:17" x14ac:dyDescent="0.25">
      <c r="A56" s="69"/>
      <c r="B56" s="122" t="s">
        <v>95</v>
      </c>
      <c r="C56" s="118">
        <f>IF(B5="Operación manual",0,ROUNDUP((('Diseño goteo-cinta'!D39+'Diseño goteo-cinta'!D28*'Diseño goteo-cinta'!D39-'Diseño goteo-cinta'!D38)*1.1)/100,0)*100)</f>
        <v>0</v>
      </c>
      <c r="D56" s="66" t="s">
        <v>85</v>
      </c>
      <c r="E56" s="67">
        <f>ROUND(H56*(1-I56/100)*(1-J56/100)*(1-K56/100)*(1-L56/100)*(1-M56/100)*(1-N56/100)*(1+$I$5/100),0)</f>
        <v>0</v>
      </c>
      <c r="F56" s="67">
        <f>ROUND(C56*E56,0)</f>
        <v>0</v>
      </c>
      <c r="H56" s="422"/>
      <c r="I56" s="438"/>
      <c r="J56" s="123"/>
      <c r="K56" s="86"/>
      <c r="L56" s="69"/>
      <c r="M56" s="69"/>
      <c r="N56" s="69"/>
      <c r="O56" s="72"/>
    </row>
    <row r="57" spans="1:17" x14ac:dyDescent="0.25">
      <c r="A57" s="69"/>
      <c r="B57" s="109" t="s">
        <v>67</v>
      </c>
      <c r="C57" s="89">
        <f>IF(B5="Operación manual",0,($A$21/100)+'Diseño goteo-cinta'!$D$28)</f>
        <v>0</v>
      </c>
      <c r="D57" s="66" t="s">
        <v>85</v>
      </c>
      <c r="E57" s="67">
        <f>ROUND(H57*(1-I57/100)*(1-J57/100)*(1-K57/100)*(1-L57/100)*(1-M57/100)*(1-N57/100)*(1+$I$5/100),0)</f>
        <v>0</v>
      </c>
      <c r="F57" s="67">
        <f>ROUND(C57*E57,0)</f>
        <v>0</v>
      </c>
      <c r="H57" s="415"/>
      <c r="I57" s="438"/>
      <c r="J57" s="123"/>
      <c r="K57" s="86"/>
      <c r="L57" s="69"/>
      <c r="M57" s="69"/>
      <c r="N57" s="69"/>
      <c r="O57" s="72"/>
    </row>
    <row r="58" spans="1:17" x14ac:dyDescent="0.25">
      <c r="A58" s="69"/>
      <c r="C58" s="68"/>
      <c r="E58" s="67"/>
      <c r="H58" s="416"/>
      <c r="I58" s="437"/>
      <c r="J58" s="123"/>
      <c r="K58" s="86"/>
      <c r="L58" s="69"/>
      <c r="M58" s="69"/>
      <c r="N58" s="69"/>
      <c r="O58" s="72"/>
    </row>
    <row r="59" spans="1:17" x14ac:dyDescent="0.25">
      <c r="A59" s="69"/>
      <c r="B59" s="102" t="s">
        <v>68</v>
      </c>
      <c r="C59" s="108"/>
      <c r="D59" s="93"/>
      <c r="E59" s="103"/>
      <c r="F59" s="103"/>
      <c r="G59" s="95">
        <f>SUM(F60:F64)</f>
        <v>0</v>
      </c>
      <c r="H59" s="416"/>
      <c r="I59" s="437"/>
      <c r="J59" s="69"/>
      <c r="O59" s="72"/>
    </row>
    <row r="60" spans="1:17" x14ac:dyDescent="0.25">
      <c r="A60" s="69"/>
      <c r="B60" s="109" t="s">
        <v>70</v>
      </c>
      <c r="C60" s="98">
        <v>1</v>
      </c>
      <c r="D60" s="77" t="s">
        <v>85</v>
      </c>
      <c r="E60" s="67">
        <f>ROUND(H60*(1-I60/100)*(1-J60/100)*(1-K60/100)*(1-L60/100)*(1-M60/100)*(1-N60/100)*(1+$I$5/100),0)</f>
        <v>0</v>
      </c>
      <c r="F60" s="79">
        <f>ROUND(C60*E60,0)</f>
        <v>0</v>
      </c>
      <c r="G60" s="97"/>
      <c r="H60" s="415"/>
      <c r="I60" s="438"/>
      <c r="J60" s="69"/>
      <c r="O60" s="72"/>
    </row>
    <row r="61" spans="1:17" ht="15" customHeight="1" x14ac:dyDescent="0.25">
      <c r="A61" s="69"/>
      <c r="B61" s="73" t="s">
        <v>96</v>
      </c>
      <c r="C61" s="124">
        <v>1</v>
      </c>
      <c r="D61" s="77" t="s">
        <v>85</v>
      </c>
      <c r="E61" s="67">
        <f>ROUND(H61*(1-I61/100)*(1-J61/100)*(1-K61/100)*(1-L61/100)*(1-M61/100)*(1-N61/100)*(1+$I$5/100),0)</f>
        <v>0</v>
      </c>
      <c r="F61" s="79">
        <f>ROUND(C61*E61,0)</f>
        <v>0</v>
      </c>
      <c r="G61" s="79"/>
      <c r="H61" s="415"/>
      <c r="I61" s="438"/>
      <c r="J61" s="69"/>
      <c r="O61" s="72"/>
    </row>
    <row r="62" spans="1:17" ht="15" customHeight="1" x14ac:dyDescent="0.25">
      <c r="A62" s="125"/>
      <c r="B62" s="109" t="s">
        <v>71</v>
      </c>
      <c r="C62" s="124">
        <f>SUM(C38)</f>
        <v>12</v>
      </c>
      <c r="D62" s="77" t="s">
        <v>85</v>
      </c>
      <c r="E62" s="67">
        <f>ROUND(H62*(1-I62/100)*(1-J62/100)*(1-K62/100)*(1-L62/100)*(1-M62/100)*(1-N62/100)*(1+$I$5/100),0)</f>
        <v>0</v>
      </c>
      <c r="F62" s="79">
        <f>ROUND(C62*E62,0)</f>
        <v>0</v>
      </c>
      <c r="G62" s="79"/>
      <c r="H62" s="415"/>
      <c r="I62" s="438"/>
      <c r="J62" s="69"/>
      <c r="O62" s="72"/>
    </row>
    <row r="63" spans="1:17" ht="28.5" hidden="1" customHeight="1" x14ac:dyDescent="0.25">
      <c r="A63" s="69"/>
      <c r="B63" s="109" t="s">
        <v>69</v>
      </c>
      <c r="C63" s="124"/>
      <c r="D63" s="77" t="s">
        <v>85</v>
      </c>
      <c r="E63" s="67">
        <f>ROUND(H63*(1-I63/100)*(1-J63/100)*(1-K63/100)*(1-L63/100)*(1-M63/100)*(1-N63/100)*(1+$I$5/100),0)</f>
        <v>0</v>
      </c>
      <c r="F63" s="79">
        <f>ROUND(C63*E63,0)</f>
        <v>0</v>
      </c>
      <c r="G63" s="99"/>
      <c r="H63" s="415"/>
      <c r="I63" s="438"/>
      <c r="J63" s="69"/>
      <c r="O63" s="72"/>
    </row>
    <row r="64" spans="1:17" x14ac:dyDescent="0.25">
      <c r="A64" s="69"/>
      <c r="B64" s="109" t="str">
        <f>+("Caudalímetro"&amp;" "&amp;" "&amp;'Diseño goteo-cinta'!D44)</f>
        <v>Caudalímetro  1¨</v>
      </c>
      <c r="C64" s="124">
        <v>1</v>
      </c>
      <c r="D64" s="77" t="s">
        <v>85</v>
      </c>
      <c r="E64" s="67">
        <f>ROUND(H64*(1-I64/100)*(1-J64/100)*(1-K64/100)*(1-L64/100)*(1-M64/100)*(1-N64/100)*(1+$I$11/100),0)</f>
        <v>0</v>
      </c>
      <c r="F64" s="79">
        <f>ROUND(C64*E64,0)</f>
        <v>0</v>
      </c>
      <c r="G64" s="99"/>
      <c r="H64" s="415"/>
      <c r="I64" s="438"/>
      <c r="J64" s="69"/>
      <c r="O64" s="72"/>
    </row>
    <row r="65" spans="1:17" x14ac:dyDescent="0.25">
      <c r="A65" s="69"/>
      <c r="B65" s="100"/>
      <c r="C65" s="98"/>
      <c r="D65" s="77"/>
      <c r="E65" s="79"/>
      <c r="F65" s="79"/>
      <c r="G65" s="79"/>
      <c r="H65" s="416"/>
      <c r="I65" s="437"/>
      <c r="J65" s="69"/>
      <c r="O65" s="72"/>
    </row>
    <row r="66" spans="1:17" s="69" customFormat="1" hidden="1" x14ac:dyDescent="0.25">
      <c r="B66" s="105"/>
      <c r="E66" s="68"/>
      <c r="F66" s="68"/>
      <c r="G66" s="68"/>
      <c r="H66" s="416"/>
      <c r="I66" s="437"/>
      <c r="O66" s="72"/>
    </row>
    <row r="67" spans="1:17" s="69" customFormat="1" x14ac:dyDescent="0.25">
      <c r="B67" s="126" t="s">
        <v>97</v>
      </c>
      <c r="E67" s="68"/>
      <c r="F67" s="68"/>
      <c r="G67" s="68"/>
      <c r="H67" s="416"/>
      <c r="I67" s="437"/>
      <c r="O67" s="72"/>
    </row>
    <row r="68" spans="1:17" x14ac:dyDescent="0.25">
      <c r="A68" s="69"/>
      <c r="B68" s="77"/>
      <c r="C68" s="98"/>
      <c r="D68" s="77"/>
      <c r="E68" s="79"/>
      <c r="F68" s="127"/>
      <c r="G68" s="79"/>
      <c r="H68" s="416"/>
      <c r="I68" s="435"/>
      <c r="J68" s="69"/>
      <c r="O68" s="72"/>
      <c r="P68" s="69"/>
      <c r="Q68" s="69"/>
    </row>
    <row r="69" spans="1:17" ht="17.25" customHeight="1" x14ac:dyDescent="0.25">
      <c r="A69" s="69"/>
      <c r="B69" s="102" t="s">
        <v>98</v>
      </c>
      <c r="C69" s="108"/>
      <c r="D69" s="93"/>
      <c r="E69" s="103"/>
      <c r="F69" s="103"/>
      <c r="G69" s="95">
        <f>SUM(F70)</f>
        <v>0</v>
      </c>
      <c r="H69" s="416"/>
      <c r="I69" s="435"/>
      <c r="J69" s="69"/>
      <c r="O69" s="72"/>
      <c r="P69" s="69"/>
      <c r="Q69" s="69"/>
    </row>
    <row r="70" spans="1:17" s="69" customFormat="1" x14ac:dyDescent="0.25">
      <c r="B70" s="128" t="str">
        <f>+("Programador"&amp;" "&amp;'Diseño goteo-cinta'!D28&amp;" "&amp;"estaciones.")</f>
        <v>Programador 4 estaciones.</v>
      </c>
      <c r="C70" s="69">
        <f>IF(B5="Operación manual",0,1)</f>
        <v>0</v>
      </c>
      <c r="D70" s="69" t="s">
        <v>85</v>
      </c>
      <c r="E70" s="68">
        <f>ROUND(H70*(1-I70/100)*(1-J70/100)*(1-K70/100)*(1-L70/100)*(1-M70/100)*(1-N70/100)*(1+$I$5/100),0)</f>
        <v>0</v>
      </c>
      <c r="F70" s="68">
        <f>ROUND(C70*E70,0)</f>
        <v>0</v>
      </c>
      <c r="G70" s="68"/>
      <c r="H70" s="423"/>
      <c r="I70" s="438"/>
      <c r="J70" s="123"/>
      <c r="K70" s="123"/>
      <c r="O70" s="72"/>
    </row>
    <row r="71" spans="1:17" x14ac:dyDescent="0.25">
      <c r="A71" s="69"/>
      <c r="B71" s="77"/>
      <c r="C71" s="98"/>
      <c r="D71" s="77"/>
      <c r="E71" s="79"/>
      <c r="F71" s="79"/>
      <c r="G71" s="79"/>
      <c r="H71" s="416"/>
      <c r="I71" s="435"/>
      <c r="J71" s="69"/>
      <c r="O71" s="72"/>
    </row>
    <row r="72" spans="1:17" x14ac:dyDescent="0.25">
      <c r="A72" s="69"/>
      <c r="B72" s="102" t="s">
        <v>74</v>
      </c>
      <c r="C72" s="108"/>
      <c r="D72" s="93"/>
      <c r="E72" s="103"/>
      <c r="F72" s="121"/>
      <c r="G72" s="96">
        <f>SUM(F73:F73)</f>
        <v>0</v>
      </c>
      <c r="H72" s="416"/>
      <c r="I72" s="435"/>
      <c r="J72" s="123"/>
      <c r="K72" s="86"/>
      <c r="L72" s="69"/>
      <c r="M72" s="69"/>
      <c r="N72" s="69"/>
      <c r="O72" s="72"/>
    </row>
    <row r="73" spans="1:17" x14ac:dyDescent="0.25">
      <c r="A73" s="69"/>
      <c r="B73" s="129" t="str">
        <f>+("Filtro"&amp;" caudal mínimo"&amp;" "&amp;(ROUND('Diseño goteo-cinta'!$D$52*1.1,2))&amp;" l/s")</f>
        <v>Filtro caudal mínimo 1,21 l/s</v>
      </c>
      <c r="C73" s="69">
        <v>1</v>
      </c>
      <c r="D73" s="69" t="s">
        <v>85</v>
      </c>
      <c r="E73" s="68">
        <f>ROUND(H73*(1-I73/100)*(1-J73/100)*(1-K73/100)*(1-L73/100)*(1-M73/100)*(1-N73/100)*(1+$I$5/100),0)</f>
        <v>0</v>
      </c>
      <c r="F73" s="68">
        <f>ROUND(C73*E73,0)</f>
        <v>0</v>
      </c>
      <c r="G73" s="68"/>
      <c r="H73" s="415"/>
      <c r="I73" s="438"/>
      <c r="J73" s="123"/>
      <c r="K73" s="86"/>
      <c r="L73" s="69"/>
      <c r="M73" s="69"/>
      <c r="N73" s="69"/>
      <c r="O73" s="72"/>
    </row>
    <row r="74" spans="1:17" x14ac:dyDescent="0.25">
      <c r="A74" s="69"/>
      <c r="E74" s="67"/>
      <c r="F74" s="130"/>
      <c r="H74" s="416"/>
      <c r="I74" s="435"/>
      <c r="J74" s="69"/>
      <c r="L74" s="69"/>
      <c r="M74" s="69"/>
      <c r="N74" s="69"/>
      <c r="O74" s="72"/>
    </row>
    <row r="75" spans="1:17" ht="17.25" customHeight="1" x14ac:dyDescent="0.25">
      <c r="A75" s="69"/>
      <c r="B75" s="102" t="s">
        <v>99</v>
      </c>
      <c r="C75" s="93"/>
      <c r="D75" s="93"/>
      <c r="E75" s="103"/>
      <c r="F75" s="103"/>
      <c r="G75" s="96">
        <f>SUM(F76:F76)</f>
        <v>0</v>
      </c>
      <c r="H75" s="416"/>
      <c r="I75" s="435"/>
      <c r="J75" s="69"/>
      <c r="O75" s="72"/>
    </row>
    <row r="76" spans="1:17" s="69" customFormat="1" ht="27" customHeight="1" x14ac:dyDescent="0.25">
      <c r="A76" s="98"/>
      <c r="B76" s="128" t="str">
        <f>+("Bomba"&amp;" "&amp;'Diseño goteo-cinta'!D57&amp;" HP ("&amp;(ROUND('Diseño goteo-cinta'!$D$52*1.1,2))&amp;" l/s ;" &amp;ROUND('Diseño goteo-cinta'!D55,0)&amp;" m.c.a)")</f>
        <v>Bomba 3 HP (1,21 l/s ;33 m.c.a)</v>
      </c>
      <c r="C76" s="98">
        <v>1</v>
      </c>
      <c r="D76" s="98" t="s">
        <v>85</v>
      </c>
      <c r="E76" s="68">
        <f>ROUND(H76*(1-I76/100)*(1-J76/100)*(1-K76/100)*(1-L76/100)*(1-M76/100)*(1-N76/100)*(1+$I$5/100),0)</f>
        <v>0</v>
      </c>
      <c r="F76" s="99">
        <f>ROUND(C76*E76,0)</f>
        <v>0</v>
      </c>
      <c r="G76" s="99"/>
      <c r="H76" s="423"/>
      <c r="I76" s="438"/>
      <c r="J76" s="101"/>
      <c r="O76" s="72"/>
      <c r="P76" s="66"/>
      <c r="Q76" s="66"/>
    </row>
    <row r="77" spans="1:17" x14ac:dyDescent="0.25">
      <c r="A77" s="69"/>
      <c r="B77" s="131"/>
      <c r="C77" s="77"/>
      <c r="D77" s="77"/>
      <c r="E77" s="79"/>
      <c r="F77" s="127"/>
      <c r="G77" s="79"/>
      <c r="H77" s="416"/>
      <c r="I77" s="437"/>
      <c r="J77" s="69"/>
      <c r="O77" s="72"/>
    </row>
    <row r="78" spans="1:17" ht="17.25" customHeight="1" x14ac:dyDescent="0.25">
      <c r="A78" s="69"/>
      <c r="B78" s="102" t="s">
        <v>100</v>
      </c>
      <c r="C78" s="93"/>
      <c r="D78" s="93"/>
      <c r="E78" s="103"/>
      <c r="F78" s="103"/>
      <c r="G78" s="95">
        <f>SUM(F79:F79)</f>
        <v>0</v>
      </c>
      <c r="H78" s="416"/>
      <c r="I78" s="435"/>
      <c r="J78" s="69"/>
      <c r="O78" s="72"/>
    </row>
    <row r="79" spans="1:17" s="69" customFormat="1" ht="25.5" customHeight="1" x14ac:dyDescent="0.25">
      <c r="B79" s="516" t="str">
        <f>IF(B5="Operación automática",("Tablero de fuerza para motor eléctrico de "&amp;'Diseño goteo-cinta'!D57&amp;" HP"&amp;" Relé asimetría, horómetro, amperímetro, int. Horario .Guardanivel"&amp;" y control para "&amp;'Diseño goteo-cinta'!D28&amp;" sectores"),("Tablero de fuerza para motor eléctrico de "&amp;'Diseño goteo-cinta'!D57&amp;" HP"))</f>
        <v>Tablero de fuerza para motor eléctrico de 3 HP</v>
      </c>
      <c r="C79" s="98">
        <v>1</v>
      </c>
      <c r="D79" s="98" t="s">
        <v>85</v>
      </c>
      <c r="E79" s="67">
        <f>ROUND(H79*(1-I79/100)*(1-J79/100)*(1-K79/100)*(1-L79/100)*(1-M79/100)*(1-N79/100)*(1+$I$5/100),0)</f>
        <v>0</v>
      </c>
      <c r="F79" s="68">
        <f>ROUND(C79*E79,0)</f>
        <v>0</v>
      </c>
      <c r="G79" s="132"/>
      <c r="H79" s="423"/>
      <c r="I79" s="438"/>
      <c r="O79" s="72"/>
    </row>
    <row r="80" spans="1:17" x14ac:dyDescent="0.25">
      <c r="A80" s="69"/>
      <c r="B80" s="516"/>
      <c r="C80" s="77"/>
      <c r="D80" s="77"/>
      <c r="E80" s="79"/>
      <c r="F80" s="79"/>
      <c r="G80" s="79"/>
      <c r="H80" s="416"/>
      <c r="I80" s="435"/>
      <c r="J80" s="69"/>
      <c r="O80" s="72"/>
    </row>
    <row r="81" spans="1:17" x14ac:dyDescent="0.25">
      <c r="A81" s="69"/>
      <c r="B81" s="372"/>
      <c r="C81" s="77"/>
      <c r="D81" s="77"/>
      <c r="E81" s="79"/>
      <c r="F81" s="79"/>
      <c r="G81" s="79"/>
      <c r="H81" s="416"/>
      <c r="I81" s="435"/>
      <c r="J81" s="69"/>
      <c r="O81" s="72"/>
    </row>
    <row r="82" spans="1:17" ht="17.25" customHeight="1" x14ac:dyDescent="0.25">
      <c r="A82" s="69"/>
      <c r="B82" s="102" t="s">
        <v>101</v>
      </c>
      <c r="C82" s="93"/>
      <c r="D82" s="93"/>
      <c r="E82" s="103"/>
      <c r="F82" s="103"/>
      <c r="G82" s="133">
        <f>SUM(F83:F86)</f>
        <v>0</v>
      </c>
      <c r="H82" s="416"/>
      <c r="I82" s="437"/>
      <c r="J82" s="69"/>
      <c r="O82" s="72"/>
    </row>
    <row r="83" spans="1:17" s="69" customFormat="1" x14ac:dyDescent="0.25">
      <c r="B83" s="128" t="str">
        <f>+("Válvula de pie "&amp;'Diseño goteo-cinta'!D44)</f>
        <v>Válvula de pie 1¨</v>
      </c>
      <c r="C83" s="69">
        <v>1</v>
      </c>
      <c r="D83" s="69" t="s">
        <v>85</v>
      </c>
      <c r="E83" s="67">
        <f>ROUND(H83*(1-I83/100)*(1-J83/100)*(1-K83/100)*(1-L83/100)*(1-M83/100)*(1-N83/100)*(1+$I$5/100),0)</f>
        <v>0</v>
      </c>
      <c r="F83" s="68">
        <f>ROUND(C83*E83,0)</f>
        <v>0</v>
      </c>
      <c r="G83" s="68"/>
      <c r="H83" s="415"/>
      <c r="I83" s="423"/>
      <c r="O83" s="72"/>
      <c r="P83" s="66"/>
      <c r="Q83" s="66"/>
    </row>
    <row r="84" spans="1:17" s="69" customFormat="1" x14ac:dyDescent="0.25">
      <c r="B84" s="128" t="str">
        <f>+("Válvula mariposa volante "&amp;'Diseño goteo-cinta'!$D$44)</f>
        <v>Válvula mariposa volante 1¨</v>
      </c>
      <c r="C84" s="69">
        <v>1</v>
      </c>
      <c r="D84" s="69" t="s">
        <v>85</v>
      </c>
      <c r="E84" s="67">
        <f>ROUND(H84*(1-I84/100)*(1-J84/100)*(1-K84/100)*(1-L84/100)*(1-M84/100)*(1-N84/100)*(1+$I$5/100),0)</f>
        <v>0</v>
      </c>
      <c r="F84" s="68">
        <f>ROUND(C84*E84,0)</f>
        <v>0</v>
      </c>
      <c r="G84" s="68"/>
      <c r="H84" s="415"/>
      <c r="I84" s="423"/>
      <c r="O84" s="72"/>
      <c r="P84" s="66"/>
      <c r="Q84" s="66"/>
    </row>
    <row r="85" spans="1:17" x14ac:dyDescent="0.25">
      <c r="A85" s="69"/>
      <c r="B85" s="128" t="str">
        <f>+("Válvula retención "&amp;'Diseño goteo-cinta'!$D$44)</f>
        <v>Válvula retención 1¨</v>
      </c>
      <c r="C85" s="66">
        <v>1</v>
      </c>
      <c r="D85" s="66" t="s">
        <v>85</v>
      </c>
      <c r="E85" s="67">
        <f>ROUND(H85*(1-I85/100)*(1-J85/100)*(1-K85/100)*(1-L85/100)*(1-M85/100)*(1-N85/100)*(1+$I$5/100),0)</f>
        <v>0</v>
      </c>
      <c r="F85" s="67">
        <f>ROUND(C85*E85,0)</f>
        <v>0</v>
      </c>
      <c r="H85" s="415"/>
      <c r="I85" s="423"/>
      <c r="J85" s="123"/>
      <c r="K85" s="86"/>
      <c r="L85" s="69"/>
      <c r="M85" s="69"/>
      <c r="N85" s="69"/>
      <c r="O85" s="72"/>
    </row>
    <row r="86" spans="1:17" hidden="1" x14ac:dyDescent="0.25">
      <c r="A86" s="69"/>
      <c r="B86" s="128" t="s">
        <v>102</v>
      </c>
      <c r="D86" s="66" t="s">
        <v>85</v>
      </c>
      <c r="E86" s="67">
        <f>ROUND(H86*(1-I86/100)*(1-J86/100)*(1-K86/100)*(1-L86/100)*(1-M86/100)*(1-N86/100)*(1+$I$5/100),0)</f>
        <v>66280</v>
      </c>
      <c r="F86" s="67">
        <f>ROUND(C86*E86,0)</f>
        <v>0</v>
      </c>
      <c r="H86" s="417">
        <v>66280</v>
      </c>
      <c r="I86" s="416"/>
      <c r="J86" s="123"/>
      <c r="K86" s="86"/>
      <c r="L86" s="69"/>
      <c r="M86" s="69"/>
      <c r="N86" s="69"/>
      <c r="O86" s="72"/>
    </row>
    <row r="87" spans="1:17" s="69" customFormat="1" x14ac:dyDescent="0.25">
      <c r="B87" s="134"/>
      <c r="C87" s="98"/>
      <c r="D87" s="98"/>
      <c r="E87" s="99"/>
      <c r="F87" s="135"/>
      <c r="G87" s="99"/>
      <c r="H87" s="416"/>
      <c r="I87" s="437"/>
      <c r="O87" s="72"/>
      <c r="P87" s="66"/>
      <c r="Q87" s="66"/>
    </row>
    <row r="88" spans="1:17" s="69" customFormat="1" x14ac:dyDescent="0.25">
      <c r="A88" s="56"/>
      <c r="B88" s="514" t="s">
        <v>103</v>
      </c>
      <c r="C88" s="515"/>
      <c r="D88" s="515"/>
      <c r="E88" s="515"/>
      <c r="F88" s="136"/>
      <c r="G88" s="137">
        <f>SUM(F89:F97)</f>
        <v>0</v>
      </c>
      <c r="H88" s="420"/>
      <c r="I88" s="442"/>
      <c r="J88" s="56"/>
      <c r="K88" s="56"/>
      <c r="L88" s="56"/>
      <c r="M88" s="56"/>
      <c r="N88" s="56"/>
      <c r="O88" s="138"/>
      <c r="P88" s="56"/>
    </row>
    <row r="89" spans="1:17" s="69" customFormat="1" x14ac:dyDescent="0.2">
      <c r="A89" s="56"/>
      <c r="B89" s="139" t="s">
        <v>138</v>
      </c>
      <c r="C89" s="66">
        <v>1</v>
      </c>
      <c r="D89" s="2" t="s">
        <v>85</v>
      </c>
      <c r="E89" s="140">
        <f t="shared" ref="E89:E96" si="11">ROUND(H89*(1-I89/100)*(1-J89/100),0)</f>
        <v>0</v>
      </c>
      <c r="F89" s="141">
        <f t="shared" ref="F89:F96" si="12">ROUND(C89*E89,0)</f>
        <v>0</v>
      </c>
      <c r="G89" s="141"/>
      <c r="H89" s="423"/>
      <c r="I89" s="441"/>
      <c r="J89" s="56"/>
      <c r="K89" s="56"/>
      <c r="L89" s="56"/>
      <c r="M89" s="56"/>
      <c r="N89" s="56"/>
      <c r="O89" s="138"/>
      <c r="P89" s="56"/>
    </row>
    <row r="90" spans="1:17" s="69" customFormat="1" hidden="1" x14ac:dyDescent="0.2">
      <c r="A90" s="142"/>
      <c r="B90" s="143" t="s">
        <v>104</v>
      </c>
      <c r="C90" s="144"/>
      <c r="D90" s="145" t="s">
        <v>85</v>
      </c>
      <c r="E90" s="140">
        <f t="shared" si="11"/>
        <v>72000</v>
      </c>
      <c r="F90" s="146">
        <f t="shared" si="12"/>
        <v>0</v>
      </c>
      <c r="G90" s="147"/>
      <c r="H90" s="424">
        <v>72000</v>
      </c>
      <c r="I90" s="440"/>
      <c r="O90" s="148"/>
    </row>
    <row r="91" spans="1:17" s="69" customFormat="1" hidden="1" x14ac:dyDescent="0.2">
      <c r="A91" s="149"/>
      <c r="B91" s="143" t="s">
        <v>105</v>
      </c>
      <c r="C91" s="150"/>
      <c r="D91" s="151" t="s">
        <v>85</v>
      </c>
      <c r="E91" s="140">
        <f t="shared" si="11"/>
        <v>203850</v>
      </c>
      <c r="F91" s="152">
        <f t="shared" si="12"/>
        <v>0</v>
      </c>
      <c r="G91" s="153"/>
      <c r="H91" s="424">
        <v>203850</v>
      </c>
      <c r="I91" s="440"/>
      <c r="O91" s="148"/>
    </row>
    <row r="92" spans="1:17" s="69" customFormat="1" hidden="1" x14ac:dyDescent="0.2">
      <c r="A92" s="149"/>
      <c r="B92" s="154" t="s">
        <v>106</v>
      </c>
      <c r="C92" s="155">
        <v>0</v>
      </c>
      <c r="D92" s="156" t="s">
        <v>85</v>
      </c>
      <c r="E92" s="140">
        <f t="shared" si="11"/>
        <v>131404</v>
      </c>
      <c r="F92" s="157">
        <f t="shared" si="12"/>
        <v>0</v>
      </c>
      <c r="G92" s="99"/>
      <c r="H92" s="424">
        <f>197600*0.7*0.95</f>
        <v>131404</v>
      </c>
      <c r="I92" s="440"/>
      <c r="J92" s="158"/>
      <c r="K92" s="158"/>
      <c r="L92" s="158"/>
      <c r="M92" s="158"/>
      <c r="N92" s="158"/>
      <c r="O92" s="148"/>
      <c r="P92" s="158"/>
    </row>
    <row r="93" spans="1:17" s="69" customFormat="1" hidden="1" x14ac:dyDescent="0.2">
      <c r="A93" s="149"/>
      <c r="B93" s="154" t="s">
        <v>107</v>
      </c>
      <c r="C93" s="155"/>
      <c r="D93" s="156" t="s">
        <v>85</v>
      </c>
      <c r="E93" s="140">
        <f t="shared" si="11"/>
        <v>186267</v>
      </c>
      <c r="F93" s="152">
        <f t="shared" si="12"/>
        <v>0</v>
      </c>
      <c r="G93" s="99"/>
      <c r="H93" s="424">
        <f>280100*0.7*0.95</f>
        <v>186266.5</v>
      </c>
      <c r="I93" s="440"/>
      <c r="J93" s="158"/>
      <c r="K93" s="158"/>
      <c r="L93" s="158"/>
      <c r="M93" s="158"/>
      <c r="N93" s="158"/>
      <c r="O93" s="148"/>
      <c r="P93" s="158"/>
    </row>
    <row r="94" spans="1:17" s="69" customFormat="1" ht="25.5" hidden="1" x14ac:dyDescent="0.2">
      <c r="A94" s="149"/>
      <c r="B94" s="159" t="s">
        <v>108</v>
      </c>
      <c r="C94" s="155"/>
      <c r="D94" s="160" t="s">
        <v>85</v>
      </c>
      <c r="E94" s="99">
        <f t="shared" si="11"/>
        <v>285000</v>
      </c>
      <c r="F94" s="99">
        <f t="shared" si="12"/>
        <v>0</v>
      </c>
      <c r="G94" s="132"/>
      <c r="H94" s="424">
        <v>285000</v>
      </c>
      <c r="I94" s="440"/>
      <c r="J94" s="161"/>
      <c r="K94" s="161"/>
      <c r="L94" s="161"/>
      <c r="M94" s="161"/>
      <c r="N94" s="161"/>
      <c r="O94" s="148"/>
      <c r="P94" s="161"/>
    </row>
    <row r="95" spans="1:17" s="69" customFormat="1" hidden="1" x14ac:dyDescent="0.2">
      <c r="A95" s="149"/>
      <c r="B95" s="159" t="s">
        <v>109</v>
      </c>
      <c r="C95" s="155"/>
      <c r="D95" s="156" t="s">
        <v>110</v>
      </c>
      <c r="E95" s="99">
        <f t="shared" si="11"/>
        <v>45200</v>
      </c>
      <c r="F95" s="79">
        <f t="shared" si="12"/>
        <v>0</v>
      </c>
      <c r="G95" s="132"/>
      <c r="H95" s="424">
        <v>45200</v>
      </c>
      <c r="I95" s="440"/>
      <c r="J95" s="161"/>
      <c r="K95" s="161"/>
      <c r="L95" s="161"/>
      <c r="M95" s="161"/>
      <c r="N95" s="161"/>
      <c r="O95" s="148"/>
      <c r="P95" s="161"/>
    </row>
    <row r="96" spans="1:17" s="69" customFormat="1" hidden="1" x14ac:dyDescent="0.2">
      <c r="A96" s="149"/>
      <c r="B96" s="159" t="s">
        <v>111</v>
      </c>
      <c r="C96" s="155"/>
      <c r="D96" s="156" t="s">
        <v>110</v>
      </c>
      <c r="E96" s="99">
        <f t="shared" si="11"/>
        <v>45500</v>
      </c>
      <c r="F96" s="79">
        <f t="shared" si="12"/>
        <v>0</v>
      </c>
      <c r="G96" s="132"/>
      <c r="H96" s="424">
        <v>45500</v>
      </c>
      <c r="I96" s="440"/>
      <c r="J96" s="161"/>
      <c r="K96" s="161"/>
      <c r="L96" s="161"/>
      <c r="M96" s="161"/>
      <c r="N96" s="161"/>
      <c r="O96" s="148"/>
      <c r="P96" s="161"/>
    </row>
    <row r="97" spans="1:17" s="69" customFormat="1" x14ac:dyDescent="0.25">
      <c r="B97" s="134"/>
      <c r="C97" s="98"/>
      <c r="D97" s="98"/>
      <c r="E97" s="99"/>
      <c r="F97" s="135"/>
      <c r="G97" s="99"/>
      <c r="H97" s="416"/>
      <c r="I97" s="437"/>
      <c r="O97" s="72"/>
      <c r="P97" s="66"/>
      <c r="Q97" s="66"/>
    </row>
    <row r="98" spans="1:17" x14ac:dyDescent="0.25">
      <c r="A98" s="69"/>
      <c r="B98" s="102" t="s">
        <v>112</v>
      </c>
      <c r="C98" s="93"/>
      <c r="D98" s="93"/>
      <c r="E98" s="103"/>
      <c r="F98" s="121"/>
      <c r="G98" s="96">
        <f>SUM(F99:F101)</f>
        <v>0</v>
      </c>
      <c r="H98" s="416"/>
      <c r="I98" s="437"/>
      <c r="J98" s="123"/>
      <c r="K98" s="86"/>
      <c r="L98" s="69"/>
      <c r="M98" s="69"/>
      <c r="N98" s="69"/>
      <c r="O98" s="72"/>
    </row>
    <row r="99" spans="1:17" x14ac:dyDescent="0.25">
      <c r="A99" s="98"/>
      <c r="B99" s="70" t="str">
        <f>+("Fittings de conexión de bombas y filtro "&amp;'Diseño goteo-cinta'!D44)</f>
        <v>Fittings de conexión de bombas y filtro 1¨</v>
      </c>
      <c r="C99" s="69"/>
      <c r="D99" s="69" t="s">
        <v>110</v>
      </c>
      <c r="E99" s="162"/>
      <c r="F99" s="99">
        <f>ROUND(H99*(1-I99/100)*(1-J99/100)*(1-K99/100)*(1-L99/100)*(1-M99/100)*(1-N99/100)*(1+$I$5/100),0)</f>
        <v>0</v>
      </c>
      <c r="G99" s="68"/>
      <c r="H99" s="423"/>
      <c r="I99" s="423"/>
      <c r="J99" s="123"/>
      <c r="K99" s="86"/>
      <c r="L99" s="69"/>
      <c r="M99" s="69"/>
      <c r="N99" s="69"/>
      <c r="O99" s="72"/>
    </row>
    <row r="100" spans="1:17" x14ac:dyDescent="0.25">
      <c r="A100" s="98"/>
      <c r="B100" s="73" t="s">
        <v>140</v>
      </c>
      <c r="D100" s="66" t="s">
        <v>110</v>
      </c>
      <c r="E100" s="163"/>
      <c r="F100" s="99">
        <f>ROUND(H100*(1-I100/100)*(1-J100/100)*(1-K100/100)*(1-L100/100)*(1-M100/100)*(1-N100/100)*(1+$I$5/100),0)</f>
        <v>0</v>
      </c>
      <c r="H100" s="423"/>
      <c r="I100" s="423"/>
      <c r="J100" s="68"/>
      <c r="K100" s="86"/>
      <c r="L100" s="69"/>
      <c r="M100" s="69"/>
      <c r="N100" s="69"/>
      <c r="O100" s="72"/>
    </row>
    <row r="101" spans="1:17" x14ac:dyDescent="0.25">
      <c r="A101" s="98"/>
      <c r="B101" s="70" t="s">
        <v>113</v>
      </c>
      <c r="D101" s="66" t="s">
        <v>110</v>
      </c>
      <c r="E101" s="67"/>
      <c r="F101" s="99">
        <f>ROUND(H101*(1-I101/100)*(1-J101/100)*(1-K101/100)*(1-L101/100)*(1-M101/100)*(1-N101/100)*(1+$I$5/100),0)</f>
        <v>0</v>
      </c>
      <c r="H101" s="423"/>
      <c r="I101" s="423"/>
      <c r="J101" s="123"/>
      <c r="K101" s="86"/>
      <c r="L101" s="69"/>
      <c r="M101" s="69"/>
      <c r="N101" s="69"/>
      <c r="O101" s="72"/>
    </row>
    <row r="102" spans="1:17" x14ac:dyDescent="0.25">
      <c r="A102" s="98"/>
      <c r="B102" s="73"/>
      <c r="E102" s="163"/>
      <c r="F102" s="130"/>
      <c r="G102" s="66"/>
      <c r="H102" s="416"/>
      <c r="I102" s="437"/>
      <c r="J102" s="123"/>
      <c r="K102" s="86"/>
      <c r="L102" s="69"/>
      <c r="M102" s="69"/>
      <c r="N102" s="69"/>
      <c r="O102" s="72"/>
    </row>
    <row r="103" spans="1:17" x14ac:dyDescent="0.25">
      <c r="A103" s="69"/>
      <c r="B103" s="102" t="s">
        <v>114</v>
      </c>
      <c r="C103" s="93"/>
      <c r="D103" s="93"/>
      <c r="E103" s="103"/>
      <c r="F103" s="121"/>
      <c r="G103" s="96">
        <f>SUM(F104:F104)</f>
        <v>0</v>
      </c>
      <c r="H103" s="425"/>
      <c r="I103" s="437"/>
      <c r="J103" s="123"/>
      <c r="K103" s="86"/>
      <c r="L103" s="69"/>
      <c r="M103" s="69"/>
      <c r="N103" s="69"/>
      <c r="O103" s="72"/>
    </row>
    <row r="104" spans="1:17" x14ac:dyDescent="0.25">
      <c r="A104" s="98">
        <f>+'Diseño goteo-cinta'!D30</f>
        <v>0.9</v>
      </c>
      <c r="B104" s="74" t="s">
        <v>115</v>
      </c>
      <c r="C104" s="164">
        <f>A104</f>
        <v>0.9</v>
      </c>
      <c r="D104" s="98" t="s">
        <v>110</v>
      </c>
      <c r="E104" s="165">
        <f>ROUND(H104*(1-I104/100),0)</f>
        <v>0</v>
      </c>
      <c r="F104" s="67">
        <f>+E104*C104</f>
        <v>0</v>
      </c>
      <c r="H104" s="426"/>
      <c r="I104" s="438"/>
      <c r="J104" s="123"/>
      <c r="K104" s="86"/>
      <c r="L104" s="69"/>
      <c r="M104" s="69"/>
      <c r="N104" s="69"/>
      <c r="O104" s="72"/>
    </row>
    <row r="105" spans="1:17" x14ac:dyDescent="0.25">
      <c r="A105" s="98"/>
      <c r="B105" s="73"/>
      <c r="E105" s="163"/>
      <c r="F105" s="130"/>
      <c r="G105" s="66"/>
      <c r="H105" s="416"/>
      <c r="I105" s="437"/>
      <c r="J105" s="123"/>
      <c r="K105" s="86"/>
      <c r="L105" s="69"/>
      <c r="M105" s="69"/>
      <c r="N105" s="69"/>
      <c r="O105" s="72"/>
    </row>
    <row r="106" spans="1:17" x14ac:dyDescent="0.25">
      <c r="A106" s="98"/>
      <c r="B106" s="102" t="s">
        <v>116</v>
      </c>
      <c r="C106" s="93"/>
      <c r="D106" s="93"/>
      <c r="E106" s="103"/>
      <c r="F106" s="121"/>
      <c r="G106" s="96">
        <f>SUM(F107:F109)</f>
        <v>0</v>
      </c>
      <c r="H106" s="416"/>
      <c r="I106" s="435"/>
      <c r="J106" s="123"/>
      <c r="K106" s="86"/>
      <c r="L106" s="69"/>
      <c r="M106" s="69"/>
      <c r="N106" s="69"/>
      <c r="O106" s="72"/>
    </row>
    <row r="107" spans="1:17" x14ac:dyDescent="0.25">
      <c r="A107" s="98"/>
      <c r="B107" s="73" t="s">
        <v>117</v>
      </c>
      <c r="C107" s="98">
        <v>1</v>
      </c>
      <c r="D107" s="98" t="s">
        <v>110</v>
      </c>
      <c r="F107" s="99">
        <f>ROUND(H107*(1-I107/100)*(1-J107/100)*(1-K107/100)*(1-L107/100)*(1-O107/100)*(1-P58/100)*(1+$I$5/100),0)</f>
        <v>0</v>
      </c>
      <c r="G107" s="132"/>
      <c r="H107" s="423"/>
      <c r="I107" s="438"/>
      <c r="J107" s="123"/>
      <c r="K107" s="86"/>
      <c r="L107" s="69"/>
      <c r="M107" s="69"/>
      <c r="N107" s="69"/>
      <c r="O107" s="72"/>
    </row>
    <row r="108" spans="1:17" x14ac:dyDescent="0.25">
      <c r="A108" s="98"/>
      <c r="B108" s="166" t="s">
        <v>118</v>
      </c>
      <c r="C108" s="98">
        <v>1</v>
      </c>
      <c r="D108" s="98" t="s">
        <v>110</v>
      </c>
      <c r="E108" s="165">
        <f>ROUND(H108*(1-I108/100)*(1-J108/100)*(1-K108/100)*(1-L108/100)*(1-M108/100)*(1-N108/100)*(1+$I$5/100),0)</f>
        <v>0</v>
      </c>
      <c r="F108" s="99">
        <f>ROUND(C108*E108,0)</f>
        <v>0</v>
      </c>
      <c r="G108" s="132"/>
      <c r="H108" s="423"/>
      <c r="I108" s="438"/>
      <c r="J108" s="123"/>
      <c r="K108" s="86"/>
      <c r="L108" s="69"/>
      <c r="M108" s="69"/>
      <c r="N108" s="69"/>
      <c r="O108" s="72"/>
    </row>
    <row r="109" spans="1:17" x14ac:dyDescent="0.25">
      <c r="A109" s="98"/>
      <c r="B109" s="73" t="s">
        <v>119</v>
      </c>
      <c r="C109" s="66">
        <v>1</v>
      </c>
      <c r="D109" s="98" t="s">
        <v>110</v>
      </c>
      <c r="E109" s="165">
        <f>ROUND(H109*(1-I109/100),0)*$I$4</f>
        <v>0</v>
      </c>
      <c r="F109" s="99">
        <f>ROUND(H109*(1-I109/100)*(1-J109/100)*(1-K109/100)*(1-L109/100)*(1-M109/100)*(1-N109/100)*(1+$I$5/100),0)</f>
        <v>0</v>
      </c>
      <c r="H109" s="423"/>
      <c r="I109" s="438"/>
      <c r="J109" s="123"/>
      <c r="K109" s="86"/>
      <c r="L109" s="69"/>
      <c r="M109" s="69"/>
      <c r="N109" s="69"/>
      <c r="O109" s="72"/>
    </row>
    <row r="110" spans="1:17" x14ac:dyDescent="0.25">
      <c r="A110" s="69"/>
      <c r="F110" s="66"/>
      <c r="G110" s="79"/>
      <c r="H110" s="416"/>
      <c r="I110" s="435"/>
      <c r="J110" s="69"/>
      <c r="L110" s="69"/>
      <c r="M110" s="69"/>
      <c r="N110" s="69"/>
      <c r="O110" s="72"/>
    </row>
    <row r="111" spans="1:17" ht="21.75" customHeight="1" x14ac:dyDescent="0.25">
      <c r="A111" s="69"/>
      <c r="B111" s="167"/>
      <c r="C111" s="168"/>
      <c r="D111" s="169"/>
      <c r="E111" s="168" t="s">
        <v>120</v>
      </c>
      <c r="F111" s="169"/>
      <c r="G111" s="170">
        <f>SUM(F13:F109)</f>
        <v>0</v>
      </c>
      <c r="H111" s="427"/>
      <c r="I111" s="435"/>
      <c r="J111" s="69"/>
      <c r="L111" s="69"/>
      <c r="M111" s="69"/>
      <c r="N111" s="69"/>
      <c r="O111" s="72"/>
    </row>
    <row r="112" spans="1:17" ht="21.75" customHeight="1" x14ac:dyDescent="0.25">
      <c r="A112" s="69"/>
      <c r="B112" s="172"/>
      <c r="C112" s="77"/>
      <c r="D112" s="77"/>
      <c r="E112" s="173" t="s">
        <v>121</v>
      </c>
      <c r="F112" s="77"/>
      <c r="G112" s="174">
        <f>ROUNDUP(G111*0.19,0)</f>
        <v>0</v>
      </c>
      <c r="H112" s="416"/>
      <c r="I112" s="435"/>
      <c r="J112" s="69"/>
      <c r="L112" s="69"/>
      <c r="M112" s="69"/>
      <c r="N112" s="69"/>
      <c r="O112" s="72"/>
    </row>
    <row r="113" spans="1:15" x14ac:dyDescent="0.25">
      <c r="A113" s="69"/>
      <c r="B113" s="175"/>
      <c r="C113" s="176"/>
      <c r="D113" s="176"/>
      <c r="E113" s="177" t="s">
        <v>122</v>
      </c>
      <c r="F113" s="176"/>
      <c r="G113" s="178">
        <f>SUM(G111:G112)</f>
        <v>0</v>
      </c>
      <c r="H113" s="416"/>
      <c r="I113" s="435"/>
      <c r="J113" s="69"/>
      <c r="L113" s="69"/>
      <c r="M113" s="69"/>
      <c r="N113" s="69"/>
      <c r="O113" s="72"/>
    </row>
    <row r="114" spans="1:15" x14ac:dyDescent="0.25">
      <c r="A114" s="69"/>
      <c r="H114" s="416"/>
      <c r="I114" s="435"/>
      <c r="J114" s="69"/>
      <c r="L114" s="69"/>
      <c r="M114" s="69"/>
      <c r="N114" s="69"/>
      <c r="O114" s="72"/>
    </row>
    <row r="115" spans="1:15" x14ac:dyDescent="0.25">
      <c r="A115" s="69"/>
      <c r="H115" s="416"/>
      <c r="I115" s="435"/>
      <c r="J115" s="69"/>
      <c r="L115" s="69"/>
      <c r="M115" s="69"/>
      <c r="N115" s="69"/>
      <c r="O115" s="72"/>
    </row>
    <row r="116" spans="1:15" x14ac:dyDescent="0.25">
      <c r="A116" s="69"/>
      <c r="C116" s="179"/>
      <c r="D116" s="179"/>
      <c r="E116" s="180" t="s">
        <v>123</v>
      </c>
      <c r="F116" s="171">
        <f>SUM(F7:F109)</f>
        <v>0</v>
      </c>
      <c r="G116" s="171">
        <f>SUM(G10:G106)</f>
        <v>0</v>
      </c>
      <c r="H116" s="416"/>
      <c r="I116" s="435"/>
      <c r="J116" s="69"/>
      <c r="L116" s="69"/>
      <c r="M116" s="69"/>
      <c r="N116" s="69"/>
      <c r="O116" s="72"/>
    </row>
    <row r="117" spans="1:15" x14ac:dyDescent="0.25">
      <c r="A117" s="69"/>
      <c r="H117" s="416"/>
      <c r="I117" s="435"/>
      <c r="J117" s="69"/>
      <c r="O117" s="72"/>
    </row>
    <row r="118" spans="1:15" x14ac:dyDescent="0.25">
      <c r="A118" s="69"/>
      <c r="H118" s="416"/>
      <c r="I118" s="435"/>
      <c r="J118" s="69"/>
      <c r="O118" s="72"/>
    </row>
    <row r="119" spans="1:15" x14ac:dyDescent="0.25">
      <c r="A119" s="69"/>
      <c r="H119" s="416"/>
      <c r="I119" s="435"/>
      <c r="J119" s="69"/>
      <c r="O119" s="72"/>
    </row>
    <row r="120" spans="1:15" x14ac:dyDescent="0.25">
      <c r="A120" s="69"/>
      <c r="H120" s="416"/>
      <c r="I120" s="435"/>
      <c r="J120" s="69"/>
      <c r="O120" s="72"/>
    </row>
    <row r="121" spans="1:15" x14ac:dyDescent="0.25">
      <c r="A121" s="98"/>
      <c r="B121" s="102" t="str">
        <f>+"Equipo Fotovoltaico "&amp;fotovoltaico!D2</f>
        <v>Equipo Fotovoltaico On Grid</v>
      </c>
      <c r="C121" s="93"/>
      <c r="D121" s="93"/>
      <c r="E121" s="103"/>
      <c r="F121" s="121"/>
      <c r="G121" s="96">
        <f>SUM(F122:F124)</f>
        <v>3018009</v>
      </c>
      <c r="H121" s="416"/>
      <c r="I121" s="435"/>
      <c r="J121" s="123"/>
      <c r="K121" s="86"/>
      <c r="L121" s="69"/>
      <c r="M121" s="69"/>
      <c r="N121" s="69"/>
      <c r="O121" s="72"/>
    </row>
    <row r="122" spans="1:15" x14ac:dyDescent="0.25">
      <c r="A122" s="98"/>
      <c r="B122" s="73" t="str">
        <f>+"Equipo fotovoltaico "&amp;fotovoltaico!D2&amp; " de "&amp;ROUND(fotovoltaico!E44,2)&amp;" kWp (mínimos)"&amp;" para consumo de "&amp;ROUND(fotovoltaico!H27,1) &amp;" Kw"</f>
        <v>Equipo fotovoltaico On Grid de 1,68 kWp (mínimos) para consumo de 1 Kw</v>
      </c>
      <c r="C122" s="98">
        <v>1</v>
      </c>
      <c r="D122" s="98" t="s">
        <v>110</v>
      </c>
      <c r="F122" s="99">
        <f>ROUND(H122*fotovoltaico!E44*(1-I122/100)*(1-J122/100)*(1-K122/100)*(1-L122/100)*(1-O122/100)*(1-P73/100)*(1+$I$5/100),0)</f>
        <v>3018009</v>
      </c>
      <c r="G122" s="132"/>
      <c r="H122" s="423">
        <f>1800000</f>
        <v>1800000</v>
      </c>
      <c r="I122" s="437"/>
      <c r="J122" s="123"/>
      <c r="K122" s="86"/>
      <c r="L122" s="69"/>
      <c r="M122" s="69"/>
      <c r="N122" s="69"/>
      <c r="O122" s="72"/>
    </row>
    <row r="123" spans="1:15" x14ac:dyDescent="0.25">
      <c r="B123" s="66" t="str">
        <f>IF(fotovoltaico!$D$2="Off Grid c/baterias",("Banco de baterías de "&amp;ROUND(fotovoltaico!K92,2)&amp;" kWh (mínimo)"),"     ")</f>
        <v xml:space="preserve">     </v>
      </c>
      <c r="C123" s="66">
        <f>IF(fotovoltaico!$D$2="Off Grid c/baterias",1,0)</f>
        <v>0</v>
      </c>
      <c r="D123" s="66" t="s">
        <v>110</v>
      </c>
      <c r="F123" s="99">
        <f>IF(fotovoltaico!$D$2="Off Grid c/baterias",ROUND((IF(fotovoltaico!$D$2="Off Grid c/baterias",H123*fotovoltaico!K92*1000/(200*12),0))*(1-I123/100)*(1-J123/100)*(1-K123/100)*(1-L123/100)*(1-O123/100)*(1-P74/100)*(1+$I$5/100),0),0)</f>
        <v>0</v>
      </c>
      <c r="G123" s="66"/>
      <c r="H123" s="423">
        <v>350000</v>
      </c>
      <c r="I123" s="437"/>
      <c r="J123" s="69"/>
      <c r="O123" s="72"/>
    </row>
    <row r="124" spans="1:15" x14ac:dyDescent="0.25">
      <c r="F124" s="66"/>
      <c r="G124" s="66"/>
      <c r="H124" s="66"/>
      <c r="I124" s="66"/>
      <c r="J124" s="69"/>
      <c r="O124" s="72"/>
    </row>
    <row r="125" spans="1:15" x14ac:dyDescent="0.25">
      <c r="F125" s="66"/>
      <c r="G125" s="66"/>
      <c r="H125" s="66"/>
      <c r="I125" s="66"/>
      <c r="J125" s="69"/>
      <c r="O125" s="72"/>
    </row>
    <row r="126" spans="1:15" x14ac:dyDescent="0.25">
      <c r="F126" s="66"/>
      <c r="G126" s="66"/>
      <c r="H126" s="66"/>
      <c r="I126" s="66"/>
      <c r="J126" s="69"/>
      <c r="O126" s="72"/>
    </row>
    <row r="127" spans="1:15" x14ac:dyDescent="0.25">
      <c r="F127" s="66"/>
      <c r="G127" s="66"/>
      <c r="H127" s="66"/>
      <c r="I127" s="66"/>
      <c r="J127" s="69"/>
      <c r="O127" s="72"/>
    </row>
    <row r="128" spans="1:15" x14ac:dyDescent="0.25">
      <c r="F128" s="66"/>
      <c r="G128" s="66"/>
      <c r="H128" s="66"/>
      <c r="I128" s="66"/>
      <c r="J128" s="69"/>
      <c r="O128" s="72"/>
    </row>
    <row r="129" spans="6:15" x14ac:dyDescent="0.25">
      <c r="F129" s="66"/>
      <c r="G129" s="66"/>
      <c r="H129" s="66"/>
      <c r="I129" s="66"/>
      <c r="J129" s="69"/>
      <c r="O129" s="72"/>
    </row>
    <row r="130" spans="6:15" x14ac:dyDescent="0.25">
      <c r="F130" s="66"/>
      <c r="G130" s="66"/>
      <c r="H130" s="66"/>
      <c r="I130" s="66"/>
      <c r="J130" s="69"/>
      <c r="O130" s="72"/>
    </row>
    <row r="131" spans="6:15" x14ac:dyDescent="0.25">
      <c r="F131" s="66"/>
      <c r="G131" s="66"/>
      <c r="H131" s="66"/>
      <c r="I131" s="66"/>
      <c r="J131" s="69"/>
      <c r="O131" s="72"/>
    </row>
    <row r="132" spans="6:15" x14ac:dyDescent="0.25">
      <c r="F132" s="66"/>
      <c r="G132" s="66"/>
      <c r="H132" s="66"/>
      <c r="I132" s="66"/>
      <c r="J132" s="69"/>
      <c r="O132" s="72"/>
    </row>
    <row r="133" spans="6:15" x14ac:dyDescent="0.25">
      <c r="F133" s="66"/>
      <c r="G133" s="66"/>
      <c r="H133" s="66"/>
      <c r="I133" s="66"/>
      <c r="J133" s="69"/>
      <c r="O133" s="72"/>
    </row>
    <row r="134" spans="6:15" x14ac:dyDescent="0.25">
      <c r="F134" s="66"/>
      <c r="G134" s="66"/>
      <c r="H134" s="66"/>
      <c r="I134" s="66"/>
      <c r="J134" s="69"/>
      <c r="O134" s="72"/>
    </row>
    <row r="135" spans="6:15" x14ac:dyDescent="0.25">
      <c r="F135" s="66"/>
      <c r="G135" s="66"/>
      <c r="H135" s="66"/>
      <c r="I135" s="66"/>
      <c r="J135" s="69"/>
      <c r="O135" s="72"/>
    </row>
    <row r="136" spans="6:15" x14ac:dyDescent="0.25">
      <c r="F136" s="66"/>
      <c r="G136" s="66"/>
      <c r="H136" s="66"/>
      <c r="I136" s="66"/>
      <c r="J136" s="69"/>
      <c r="O136" s="72"/>
    </row>
    <row r="137" spans="6:15" x14ac:dyDescent="0.25">
      <c r="F137" s="66"/>
      <c r="G137" s="66"/>
      <c r="H137" s="66"/>
      <c r="I137" s="66"/>
      <c r="J137" s="69"/>
      <c r="O137" s="72"/>
    </row>
    <row r="138" spans="6:15" x14ac:dyDescent="0.25">
      <c r="F138" s="66"/>
      <c r="G138" s="66"/>
      <c r="H138" s="66"/>
      <c r="I138" s="66"/>
      <c r="J138" s="69"/>
      <c r="O138" s="72"/>
    </row>
    <row r="139" spans="6:15" x14ac:dyDescent="0.25">
      <c r="F139" s="66"/>
      <c r="G139" s="66"/>
      <c r="H139" s="66"/>
      <c r="I139" s="66"/>
      <c r="J139" s="69"/>
      <c r="O139" s="72"/>
    </row>
    <row r="140" spans="6:15" x14ac:dyDescent="0.25">
      <c r="F140" s="66"/>
      <c r="G140" s="66"/>
      <c r="H140" s="66"/>
      <c r="I140" s="66"/>
      <c r="J140" s="69"/>
      <c r="O140" s="72"/>
    </row>
    <row r="141" spans="6:15" x14ac:dyDescent="0.25">
      <c r="F141" s="66"/>
      <c r="G141" s="66"/>
      <c r="H141" s="66"/>
      <c r="I141" s="66"/>
      <c r="J141" s="69"/>
      <c r="O141" s="72"/>
    </row>
    <row r="142" spans="6:15" x14ac:dyDescent="0.25">
      <c r="F142" s="66"/>
      <c r="G142" s="66"/>
      <c r="H142" s="66"/>
      <c r="I142" s="66"/>
      <c r="J142" s="69"/>
      <c r="O142" s="72"/>
    </row>
    <row r="143" spans="6:15" x14ac:dyDescent="0.25">
      <c r="F143" s="66"/>
      <c r="G143" s="66"/>
      <c r="H143" s="66"/>
      <c r="I143" s="66"/>
      <c r="J143" s="69"/>
      <c r="O143" s="72"/>
    </row>
    <row r="144" spans="6:15" x14ac:dyDescent="0.25">
      <c r="F144" s="66"/>
      <c r="G144" s="66"/>
      <c r="H144" s="66"/>
      <c r="I144" s="66"/>
      <c r="J144" s="69"/>
      <c r="O144" s="72"/>
    </row>
    <row r="145" spans="6:15" x14ac:dyDescent="0.25">
      <c r="F145" s="66"/>
      <c r="G145" s="66"/>
      <c r="H145" s="66"/>
      <c r="I145" s="66"/>
      <c r="J145" s="69"/>
      <c r="O145" s="72"/>
    </row>
    <row r="146" spans="6:15" x14ac:dyDescent="0.25">
      <c r="F146" s="66"/>
      <c r="G146" s="66"/>
      <c r="H146" s="66"/>
      <c r="I146" s="66"/>
      <c r="J146" s="69"/>
      <c r="O146" s="72"/>
    </row>
    <row r="147" spans="6:15" x14ac:dyDescent="0.25">
      <c r="F147" s="66"/>
      <c r="G147" s="66"/>
      <c r="H147" s="66"/>
      <c r="I147" s="66"/>
      <c r="J147" s="69"/>
      <c r="O147" s="72"/>
    </row>
    <row r="148" spans="6:15" x14ac:dyDescent="0.25">
      <c r="F148" s="66"/>
      <c r="G148" s="66"/>
      <c r="H148" s="66"/>
      <c r="I148" s="66"/>
      <c r="J148" s="69"/>
      <c r="O148" s="72"/>
    </row>
    <row r="149" spans="6:15" x14ac:dyDescent="0.25">
      <c r="F149" s="66"/>
      <c r="G149" s="66"/>
      <c r="H149" s="66"/>
      <c r="I149" s="66"/>
      <c r="J149" s="69"/>
      <c r="O149" s="72"/>
    </row>
    <row r="150" spans="6:15" x14ac:dyDescent="0.25">
      <c r="F150" s="66"/>
      <c r="G150" s="66"/>
      <c r="H150" s="66"/>
      <c r="I150" s="66"/>
      <c r="J150" s="69"/>
      <c r="O150" s="72"/>
    </row>
    <row r="151" spans="6:15" x14ac:dyDescent="0.25">
      <c r="F151" s="66"/>
      <c r="G151" s="66"/>
      <c r="H151" s="66"/>
      <c r="I151" s="66"/>
      <c r="J151" s="69"/>
      <c r="O151" s="72"/>
    </row>
    <row r="152" spans="6:15" x14ac:dyDescent="0.25">
      <c r="F152" s="66"/>
      <c r="G152" s="66"/>
      <c r="H152" s="66"/>
      <c r="I152" s="66"/>
      <c r="J152" s="69"/>
      <c r="O152" s="72"/>
    </row>
    <row r="153" spans="6:15" x14ac:dyDescent="0.25">
      <c r="F153" s="66"/>
      <c r="G153" s="66"/>
      <c r="H153" s="66"/>
      <c r="I153" s="66"/>
      <c r="J153" s="69"/>
      <c r="O153" s="72"/>
    </row>
    <row r="154" spans="6:15" x14ac:dyDescent="0.25">
      <c r="F154" s="66"/>
      <c r="G154" s="66"/>
      <c r="H154" s="66"/>
      <c r="I154" s="66"/>
      <c r="J154" s="69"/>
      <c r="O154" s="72"/>
    </row>
    <row r="155" spans="6:15" x14ac:dyDescent="0.25">
      <c r="F155" s="66"/>
      <c r="G155" s="66"/>
      <c r="H155" s="66"/>
      <c r="I155" s="66"/>
      <c r="J155" s="69"/>
      <c r="O155" s="72"/>
    </row>
    <row r="156" spans="6:15" x14ac:dyDescent="0.25">
      <c r="F156" s="66"/>
      <c r="G156" s="66"/>
      <c r="H156" s="66"/>
      <c r="I156" s="66"/>
      <c r="J156" s="69"/>
      <c r="O156" s="72"/>
    </row>
    <row r="157" spans="6:15" x14ac:dyDescent="0.25">
      <c r="F157" s="66"/>
      <c r="G157" s="66"/>
      <c r="H157" s="66"/>
      <c r="I157" s="66"/>
      <c r="J157" s="69"/>
      <c r="O157" s="72"/>
    </row>
    <row r="158" spans="6:15" x14ac:dyDescent="0.25">
      <c r="F158" s="66"/>
      <c r="G158" s="66"/>
      <c r="H158" s="66"/>
      <c r="I158" s="66"/>
      <c r="J158" s="69"/>
      <c r="O158" s="72"/>
    </row>
    <row r="159" spans="6:15" x14ac:dyDescent="0.25">
      <c r="F159" s="66"/>
      <c r="G159" s="66"/>
      <c r="H159" s="66"/>
      <c r="I159" s="66"/>
      <c r="J159" s="69"/>
      <c r="O159" s="72"/>
    </row>
    <row r="160" spans="6:15" x14ac:dyDescent="0.25">
      <c r="F160" s="66"/>
      <c r="G160" s="66"/>
      <c r="H160" s="66"/>
      <c r="I160" s="66"/>
      <c r="J160" s="69"/>
      <c r="O160" s="72"/>
    </row>
    <row r="161" spans="6:15" x14ac:dyDescent="0.25">
      <c r="F161" s="66"/>
      <c r="G161" s="66"/>
      <c r="H161" s="66"/>
      <c r="I161" s="66"/>
      <c r="O161" s="72"/>
    </row>
    <row r="162" spans="6:15" x14ac:dyDescent="0.25">
      <c r="F162" s="66"/>
      <c r="G162" s="66"/>
      <c r="H162" s="66"/>
      <c r="I162" s="66"/>
      <c r="O162" s="72"/>
    </row>
    <row r="163" spans="6:15" x14ac:dyDescent="0.25">
      <c r="F163" s="66"/>
      <c r="G163" s="66"/>
      <c r="H163" s="66"/>
      <c r="I163" s="66"/>
      <c r="O163" s="72"/>
    </row>
    <row r="164" spans="6:15" x14ac:dyDescent="0.25">
      <c r="F164" s="66"/>
      <c r="G164" s="66"/>
      <c r="H164" s="66"/>
      <c r="I164" s="66"/>
      <c r="O164" s="72"/>
    </row>
    <row r="165" spans="6:15" x14ac:dyDescent="0.25">
      <c r="F165" s="66"/>
      <c r="G165" s="66"/>
      <c r="H165" s="66"/>
      <c r="I165" s="66"/>
      <c r="O165" s="72"/>
    </row>
    <row r="166" spans="6:15" x14ac:dyDescent="0.25">
      <c r="F166" s="66"/>
      <c r="G166" s="66"/>
      <c r="H166" s="66"/>
      <c r="I166" s="66"/>
      <c r="O166" s="72"/>
    </row>
    <row r="167" spans="6:15" x14ac:dyDescent="0.25">
      <c r="F167" s="66"/>
      <c r="G167" s="66"/>
      <c r="H167" s="66"/>
      <c r="I167" s="66"/>
      <c r="O167" s="72"/>
    </row>
    <row r="168" spans="6:15" x14ac:dyDescent="0.25">
      <c r="F168" s="66"/>
      <c r="G168" s="66"/>
      <c r="H168" s="66"/>
      <c r="I168" s="66"/>
      <c r="O168" s="72"/>
    </row>
    <row r="169" spans="6:15" x14ac:dyDescent="0.25">
      <c r="F169" s="66"/>
      <c r="G169" s="66"/>
      <c r="H169" s="66"/>
      <c r="I169" s="66"/>
      <c r="O169" s="72"/>
    </row>
    <row r="170" spans="6:15" x14ac:dyDescent="0.25">
      <c r="F170" s="66"/>
      <c r="G170" s="66"/>
      <c r="H170" s="66"/>
      <c r="I170" s="66"/>
      <c r="O170" s="72"/>
    </row>
    <row r="171" spans="6:15" x14ac:dyDescent="0.25">
      <c r="F171" s="66"/>
      <c r="G171" s="66"/>
      <c r="H171" s="66"/>
      <c r="I171" s="66"/>
      <c r="O171" s="72"/>
    </row>
    <row r="172" spans="6:15" x14ac:dyDescent="0.25">
      <c r="F172" s="66"/>
      <c r="G172" s="66"/>
      <c r="H172" s="66"/>
      <c r="I172" s="66"/>
      <c r="O172" s="72"/>
    </row>
    <row r="173" spans="6:15" x14ac:dyDescent="0.25">
      <c r="F173" s="66"/>
      <c r="G173" s="66"/>
      <c r="H173" s="66"/>
      <c r="I173" s="66"/>
      <c r="O173" s="72"/>
    </row>
    <row r="174" spans="6:15" x14ac:dyDescent="0.25">
      <c r="F174" s="66"/>
      <c r="G174" s="66"/>
      <c r="H174" s="66"/>
      <c r="I174" s="66"/>
      <c r="O174" s="72"/>
    </row>
    <row r="175" spans="6:15" x14ac:dyDescent="0.25">
      <c r="F175" s="66"/>
      <c r="G175" s="66"/>
      <c r="H175" s="66"/>
      <c r="I175" s="66"/>
      <c r="O175" s="72"/>
    </row>
    <row r="176" spans="6:15" x14ac:dyDescent="0.25">
      <c r="F176" s="66"/>
      <c r="G176" s="66"/>
      <c r="H176" s="66"/>
      <c r="I176" s="66"/>
      <c r="O176" s="72"/>
    </row>
    <row r="177" spans="6:15" x14ac:dyDescent="0.25">
      <c r="F177" s="66"/>
      <c r="G177" s="66"/>
      <c r="H177" s="66"/>
      <c r="I177" s="66"/>
      <c r="O177" s="72"/>
    </row>
    <row r="178" spans="6:15" x14ac:dyDescent="0.25">
      <c r="F178" s="66"/>
      <c r="G178" s="66"/>
      <c r="H178" s="66"/>
      <c r="I178" s="66"/>
      <c r="O178" s="72"/>
    </row>
    <row r="179" spans="6:15" x14ac:dyDescent="0.25">
      <c r="F179" s="66"/>
      <c r="G179" s="66"/>
      <c r="H179" s="66"/>
      <c r="I179" s="66"/>
      <c r="O179" s="72"/>
    </row>
    <row r="180" spans="6:15" x14ac:dyDescent="0.25">
      <c r="F180" s="66"/>
      <c r="G180" s="66"/>
      <c r="H180" s="66"/>
      <c r="I180" s="66"/>
      <c r="O180" s="72"/>
    </row>
    <row r="181" spans="6:15" x14ac:dyDescent="0.25">
      <c r="F181" s="66"/>
      <c r="G181" s="66"/>
      <c r="H181" s="66"/>
      <c r="I181" s="66"/>
      <c r="O181" s="72"/>
    </row>
    <row r="182" spans="6:15" x14ac:dyDescent="0.25">
      <c r="F182" s="66"/>
      <c r="G182" s="66"/>
      <c r="H182" s="66"/>
      <c r="I182" s="66"/>
      <c r="O182" s="72"/>
    </row>
    <row r="183" spans="6:15" x14ac:dyDescent="0.25">
      <c r="F183" s="66"/>
      <c r="G183" s="66"/>
      <c r="H183" s="66"/>
      <c r="I183" s="66"/>
      <c r="O183" s="72"/>
    </row>
    <row r="184" spans="6:15" x14ac:dyDescent="0.25">
      <c r="F184" s="66"/>
      <c r="G184" s="66"/>
      <c r="H184" s="66"/>
      <c r="I184" s="66"/>
      <c r="O184" s="72"/>
    </row>
    <row r="185" spans="6:15" x14ac:dyDescent="0.25">
      <c r="F185" s="66"/>
      <c r="G185" s="66"/>
      <c r="H185" s="66"/>
      <c r="I185" s="66"/>
      <c r="O185" s="72"/>
    </row>
    <row r="186" spans="6:15" x14ac:dyDescent="0.25">
      <c r="F186" s="66"/>
      <c r="G186" s="66"/>
      <c r="H186" s="66"/>
      <c r="I186" s="66"/>
      <c r="O186" s="72"/>
    </row>
    <row r="187" spans="6:15" x14ac:dyDescent="0.25">
      <c r="F187" s="66"/>
      <c r="G187" s="66"/>
      <c r="H187" s="66"/>
      <c r="I187" s="66"/>
      <c r="O187" s="72"/>
    </row>
    <row r="188" spans="6:15" x14ac:dyDescent="0.25">
      <c r="F188" s="66"/>
      <c r="G188" s="66"/>
      <c r="H188" s="66"/>
      <c r="I188" s="66"/>
      <c r="O188" s="72"/>
    </row>
    <row r="189" spans="6:15" x14ac:dyDescent="0.25">
      <c r="F189" s="66"/>
      <c r="G189" s="66"/>
      <c r="H189" s="66"/>
      <c r="I189" s="66"/>
      <c r="O189" s="72"/>
    </row>
    <row r="190" spans="6:15" x14ac:dyDescent="0.25">
      <c r="F190" s="66"/>
      <c r="G190" s="66"/>
      <c r="H190" s="66"/>
      <c r="I190" s="66"/>
      <c r="O190" s="72"/>
    </row>
    <row r="191" spans="6:15" x14ac:dyDescent="0.25">
      <c r="F191" s="66"/>
      <c r="G191" s="66"/>
      <c r="H191" s="66"/>
      <c r="I191" s="66"/>
      <c r="O191" s="72"/>
    </row>
    <row r="192" spans="6:15" x14ac:dyDescent="0.25">
      <c r="F192" s="66"/>
      <c r="G192" s="66"/>
      <c r="H192" s="66"/>
      <c r="I192" s="66"/>
      <c r="O192" s="72"/>
    </row>
    <row r="193" spans="6:15" x14ac:dyDescent="0.25">
      <c r="F193" s="66"/>
      <c r="G193" s="66"/>
      <c r="H193" s="66"/>
      <c r="I193" s="66"/>
      <c r="O193" s="72"/>
    </row>
    <row r="194" spans="6:15" x14ac:dyDescent="0.25">
      <c r="F194" s="66"/>
      <c r="G194" s="66"/>
      <c r="H194" s="66"/>
      <c r="I194" s="66"/>
      <c r="O194" s="72"/>
    </row>
    <row r="195" spans="6:15" x14ac:dyDescent="0.25">
      <c r="F195" s="66"/>
      <c r="G195" s="66"/>
      <c r="H195" s="66"/>
      <c r="I195" s="66"/>
      <c r="O195" s="72"/>
    </row>
    <row r="196" spans="6:15" x14ac:dyDescent="0.25">
      <c r="F196" s="66"/>
      <c r="G196" s="66"/>
      <c r="H196" s="66"/>
      <c r="I196" s="66"/>
      <c r="O196" s="72"/>
    </row>
    <row r="197" spans="6:15" x14ac:dyDescent="0.25">
      <c r="F197" s="66"/>
      <c r="G197" s="66"/>
      <c r="H197" s="66"/>
      <c r="I197" s="66"/>
      <c r="O197" s="72"/>
    </row>
    <row r="198" spans="6:15" x14ac:dyDescent="0.25">
      <c r="F198" s="66"/>
      <c r="G198" s="66"/>
      <c r="H198" s="66"/>
      <c r="I198" s="66"/>
      <c r="O198" s="72"/>
    </row>
    <row r="199" spans="6:15" x14ac:dyDescent="0.25">
      <c r="F199" s="66"/>
      <c r="G199" s="66"/>
      <c r="H199" s="66"/>
      <c r="I199" s="66"/>
      <c r="O199" s="72"/>
    </row>
    <row r="200" spans="6:15" x14ac:dyDescent="0.25">
      <c r="F200" s="66"/>
      <c r="G200" s="66"/>
      <c r="H200" s="66"/>
      <c r="I200" s="66"/>
      <c r="O200" s="72"/>
    </row>
    <row r="201" spans="6:15" x14ac:dyDescent="0.25">
      <c r="F201" s="66"/>
      <c r="G201" s="66"/>
      <c r="H201" s="66"/>
      <c r="I201" s="66"/>
      <c r="O201" s="72"/>
    </row>
    <row r="202" spans="6:15" x14ac:dyDescent="0.25">
      <c r="F202" s="66"/>
      <c r="G202" s="66"/>
      <c r="H202" s="66"/>
      <c r="I202" s="66"/>
      <c r="O202" s="72"/>
    </row>
    <row r="203" spans="6:15" x14ac:dyDescent="0.25">
      <c r="F203" s="66"/>
      <c r="G203" s="66"/>
      <c r="H203" s="66"/>
      <c r="I203" s="66"/>
      <c r="O203" s="72"/>
    </row>
    <row r="204" spans="6:15" x14ac:dyDescent="0.25">
      <c r="F204" s="66"/>
      <c r="G204" s="66"/>
      <c r="H204" s="66"/>
      <c r="I204" s="66"/>
      <c r="O204" s="72"/>
    </row>
    <row r="205" spans="6:15" x14ac:dyDescent="0.25">
      <c r="F205" s="66"/>
      <c r="G205" s="66"/>
      <c r="H205" s="66"/>
      <c r="I205" s="66"/>
      <c r="O205" s="72"/>
    </row>
    <row r="206" spans="6:15" x14ac:dyDescent="0.25">
      <c r="F206" s="66"/>
      <c r="G206" s="66"/>
      <c r="H206" s="66"/>
      <c r="I206" s="66"/>
      <c r="O206" s="72"/>
    </row>
    <row r="207" spans="6:15" x14ac:dyDescent="0.25">
      <c r="F207" s="66"/>
      <c r="G207" s="66"/>
      <c r="H207" s="66"/>
      <c r="I207" s="66"/>
      <c r="O207" s="72"/>
    </row>
    <row r="208" spans="6:15" x14ac:dyDescent="0.25">
      <c r="F208" s="66"/>
      <c r="G208" s="66"/>
      <c r="H208" s="66"/>
      <c r="I208" s="66"/>
      <c r="O208" s="72"/>
    </row>
    <row r="209" spans="6:15" x14ac:dyDescent="0.25">
      <c r="F209" s="66"/>
      <c r="G209" s="66"/>
      <c r="H209" s="66"/>
      <c r="I209" s="66"/>
      <c r="O209" s="72"/>
    </row>
    <row r="210" spans="6:15" x14ac:dyDescent="0.25">
      <c r="F210" s="66"/>
      <c r="G210" s="66"/>
      <c r="H210" s="66"/>
      <c r="I210" s="66"/>
      <c r="O210" s="72"/>
    </row>
    <row r="211" spans="6:15" x14ac:dyDescent="0.25">
      <c r="F211" s="66"/>
      <c r="G211" s="66"/>
      <c r="H211" s="66"/>
      <c r="I211" s="66"/>
      <c r="O211" s="72"/>
    </row>
    <row r="212" spans="6:15" x14ac:dyDescent="0.25">
      <c r="F212" s="66"/>
      <c r="G212" s="66"/>
      <c r="H212" s="66"/>
      <c r="I212" s="66"/>
      <c r="O212" s="72"/>
    </row>
    <row r="213" spans="6:15" x14ac:dyDescent="0.25">
      <c r="F213" s="66"/>
      <c r="G213" s="66"/>
      <c r="H213" s="66"/>
      <c r="I213" s="66"/>
      <c r="O213" s="72"/>
    </row>
    <row r="214" spans="6:15" x14ac:dyDescent="0.25">
      <c r="F214" s="66"/>
      <c r="G214" s="66"/>
      <c r="H214" s="66"/>
      <c r="I214" s="66"/>
      <c r="O214" s="72"/>
    </row>
    <row r="215" spans="6:15" x14ac:dyDescent="0.25">
      <c r="F215" s="66"/>
      <c r="G215" s="66"/>
      <c r="H215" s="66"/>
      <c r="I215" s="66"/>
      <c r="O215" s="72"/>
    </row>
    <row r="216" spans="6:15" x14ac:dyDescent="0.25">
      <c r="F216" s="66"/>
      <c r="G216" s="66"/>
      <c r="H216" s="66"/>
      <c r="I216" s="66"/>
      <c r="O216" s="72"/>
    </row>
    <row r="217" spans="6:15" x14ac:dyDescent="0.25">
      <c r="F217" s="66"/>
      <c r="G217" s="66"/>
      <c r="H217" s="66"/>
      <c r="I217" s="66"/>
      <c r="O217" s="72"/>
    </row>
    <row r="218" spans="6:15" x14ac:dyDescent="0.25">
      <c r="F218" s="66"/>
      <c r="G218" s="66"/>
      <c r="H218" s="66"/>
      <c r="I218" s="66"/>
      <c r="O218" s="72"/>
    </row>
    <row r="219" spans="6:15" x14ac:dyDescent="0.25">
      <c r="F219" s="66"/>
      <c r="G219" s="66"/>
      <c r="H219" s="66"/>
      <c r="I219" s="66"/>
      <c r="O219" s="72"/>
    </row>
    <row r="220" spans="6:15" x14ac:dyDescent="0.25">
      <c r="F220" s="66"/>
      <c r="G220" s="66"/>
      <c r="H220" s="66"/>
      <c r="I220" s="66"/>
      <c r="O220" s="72"/>
    </row>
    <row r="221" spans="6:15" x14ac:dyDescent="0.25">
      <c r="F221" s="66"/>
      <c r="G221" s="66"/>
      <c r="H221" s="66"/>
      <c r="I221" s="66"/>
      <c r="O221" s="72"/>
    </row>
    <row r="222" spans="6:15" x14ac:dyDescent="0.25">
      <c r="F222" s="66"/>
      <c r="G222" s="66"/>
      <c r="H222" s="66"/>
      <c r="I222" s="66"/>
      <c r="O222" s="72"/>
    </row>
    <row r="223" spans="6:15" x14ac:dyDescent="0.25">
      <c r="F223" s="66"/>
      <c r="G223" s="66"/>
      <c r="H223" s="66"/>
      <c r="I223" s="66"/>
      <c r="O223" s="72"/>
    </row>
    <row r="224" spans="6:15" x14ac:dyDescent="0.25">
      <c r="F224" s="66"/>
      <c r="G224" s="66"/>
      <c r="H224" s="66"/>
      <c r="I224" s="66"/>
      <c r="O224" s="72"/>
    </row>
    <row r="225" spans="6:15" x14ac:dyDescent="0.25">
      <c r="F225" s="66"/>
      <c r="G225" s="66"/>
      <c r="H225" s="66"/>
      <c r="I225" s="66"/>
      <c r="O225" s="72"/>
    </row>
    <row r="226" spans="6:15" x14ac:dyDescent="0.25">
      <c r="F226" s="66"/>
      <c r="G226" s="66"/>
      <c r="H226" s="66"/>
      <c r="I226" s="66"/>
      <c r="O226" s="72"/>
    </row>
    <row r="227" spans="6:15" x14ac:dyDescent="0.25">
      <c r="F227" s="66"/>
      <c r="G227" s="66"/>
      <c r="H227" s="66"/>
      <c r="I227" s="66"/>
      <c r="O227" s="72"/>
    </row>
    <row r="228" spans="6:15" x14ac:dyDescent="0.25">
      <c r="F228" s="66"/>
      <c r="G228" s="66"/>
      <c r="H228" s="66"/>
      <c r="I228" s="66"/>
      <c r="O228" s="72"/>
    </row>
    <row r="229" spans="6:15" x14ac:dyDescent="0.25">
      <c r="F229" s="66"/>
      <c r="G229" s="66"/>
      <c r="H229" s="66"/>
      <c r="I229" s="66"/>
      <c r="O229" s="72"/>
    </row>
    <row r="230" spans="6:15" x14ac:dyDescent="0.25">
      <c r="F230" s="66"/>
      <c r="G230" s="66"/>
      <c r="H230" s="66"/>
      <c r="I230" s="66"/>
      <c r="O230" s="72"/>
    </row>
  </sheetData>
  <sheetProtection password="D4A7" sheet="1" objects="1" scenarios="1"/>
  <protectedRanges>
    <protectedRange sqref="C103:C106 A98:C102 A103:B110 B59 B61 A58:A63 C58:C63 A54:C55 C109:C110 A65:C65 A111:C116 C121 A121:B122" name="Rango1_2"/>
    <protectedRange sqref="A72:C72" name="Rango1_1"/>
    <protectedRange sqref="A70 C70" name="Rango1_4"/>
    <protectedRange sqref="A57:C57 C85:C86 C56 A56 B60 B62:B63 C89" name="Rango1_1_1"/>
    <protectedRange sqref="I37" name="Rango1_1_1_2"/>
    <protectedRange sqref="B49:C49 A49:A53 C50:C53" name="Rango1_2_1"/>
    <protectedRange sqref="B52:B53" name="Rango1_1_1_3"/>
    <protectedRange sqref="A73 C73" name="Rango1_1_1_4"/>
    <protectedRange sqref="B38" name="Rango1_1_1_2_1"/>
    <protectedRange sqref="B50" name="Rango1_2_1_1"/>
    <protectedRange sqref="C64" name="Rango1_2_2"/>
    <protectedRange sqref="C64" name="Rango1_2_2_1"/>
    <protectedRange sqref="A64:C64" name="Rango1_2_2_1_1"/>
    <protectedRange sqref="B89 A88:C88" name="Rango1_2_4"/>
    <protectedRange sqref="C90 B90:B91" name="Rango1_2_3_1"/>
  </protectedRanges>
  <dataConsolidate/>
  <mergeCells count="5">
    <mergeCell ref="I6:K6"/>
    <mergeCell ref="C7:D7"/>
    <mergeCell ref="B88:E88"/>
    <mergeCell ref="B79:B80"/>
    <mergeCell ref="E2:F3"/>
  </mergeCells>
  <dataValidations count="2">
    <dataValidation type="list" allowBlank="1" showInputMessage="1" showErrorMessage="1" sqref="B87 B97 B38 B57 B60 B62:B63 B52:B53 I37 B27 B29:B31 B13:B17 B19:B25 B10" xr:uid="{00000000-0002-0000-0500-000000000000}">
      <formula1>#REF!</formula1>
    </dataValidation>
    <dataValidation type="list" allowBlank="1" showInputMessage="1" showErrorMessage="1" sqref="B5" xr:uid="{00000000-0002-0000-0500-000001000000}">
      <formula1>"Operación manual,Operación automática"</formula1>
    </dataValidation>
  </dataValidations>
  <pageMargins left="0.9055118110236221" right="0.43307086614173229" top="0.98425196850393704" bottom="0.94488188976377963" header="0.51181102362204722" footer="0.51181102362204722"/>
  <pageSetup scale="68" fitToHeight="6" orientation="portrait" r:id="rId1"/>
  <headerFooter alignWithMargins="0"/>
  <rowBreaks count="1" manualBreakCount="1">
    <brk id="66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92D050"/>
  </sheetPr>
  <dimension ref="A2:R214"/>
  <sheetViews>
    <sheetView tabSelected="1" topLeftCell="A10" workbookViewId="0">
      <selection activeCell="K6" sqref="K6"/>
    </sheetView>
  </sheetViews>
  <sheetFormatPr baseColWidth="10" defaultRowHeight="12.75" x14ac:dyDescent="0.25"/>
  <cols>
    <col min="1" max="1" width="15.42578125" style="66" bestFit="1" customWidth="1"/>
    <col min="2" max="2" width="73.5703125" style="66" customWidth="1"/>
    <col min="3" max="3" width="12.85546875" style="66" customWidth="1"/>
    <col min="4" max="4" width="2.85546875" style="66" customWidth="1"/>
    <col min="5" max="5" width="13.42578125" style="66" customWidth="1"/>
    <col min="6" max="6" width="15.5703125" style="67" bestFit="1" customWidth="1"/>
    <col min="7" max="7" width="12.140625" style="67" customWidth="1"/>
    <col min="8" max="8" width="12" style="68" customWidth="1"/>
    <col min="9" max="9" width="8.7109375" style="69" customWidth="1"/>
    <col min="10" max="11" width="5.42578125" style="66" bestFit="1" customWidth="1"/>
    <col min="12" max="12" width="3.7109375" style="66" bestFit="1" customWidth="1"/>
    <col min="13" max="14" width="7.5703125" style="66" customWidth="1"/>
    <col min="15" max="15" width="1.5703125" style="66" customWidth="1"/>
    <col min="16" max="17" width="4.28515625" style="66" bestFit="1" customWidth="1"/>
    <col min="18" max="16384" width="11.42578125" style="66"/>
  </cols>
  <sheetData>
    <row r="2" spans="1:18" x14ac:dyDescent="0.25">
      <c r="F2" s="519" t="s">
        <v>225</v>
      </c>
      <c r="G2" s="519"/>
    </row>
    <row r="3" spans="1:18" x14ac:dyDescent="0.25">
      <c r="F3" s="519"/>
      <c r="G3" s="519"/>
      <c r="I3" s="66"/>
    </row>
    <row r="4" spans="1:18" ht="21.75" customHeight="1" x14ac:dyDescent="0.25">
      <c r="B4" s="76" t="s">
        <v>75</v>
      </c>
      <c r="C4" s="77"/>
      <c r="D4" s="78" t="s">
        <v>53</v>
      </c>
      <c r="E4" s="78"/>
      <c r="F4" s="79"/>
      <c r="G4" s="79"/>
      <c r="H4" s="75"/>
      <c r="O4" s="72"/>
    </row>
    <row r="5" spans="1:18" ht="19.5" customHeight="1" x14ac:dyDescent="0.25">
      <c r="B5" s="371" t="str">
        <f>+'Diseño Aspersión'!D7</f>
        <v>Posturas móviles</v>
      </c>
      <c r="C5" s="77"/>
      <c r="D5" s="77"/>
      <c r="E5" s="77"/>
      <c r="F5" s="79"/>
      <c r="G5" s="79"/>
      <c r="H5" s="80"/>
      <c r="I5" s="383"/>
      <c r="O5" s="72"/>
    </row>
    <row r="6" spans="1:18" ht="19.5" customHeight="1" x14ac:dyDescent="0.25">
      <c r="B6" s="371"/>
      <c r="C6" s="77"/>
      <c r="D6" s="77"/>
      <c r="E6" s="77"/>
      <c r="F6" s="79"/>
      <c r="G6" s="79"/>
      <c r="H6" s="80"/>
      <c r="I6" s="383"/>
      <c r="O6" s="72"/>
    </row>
    <row r="7" spans="1:18" ht="19.5" customHeight="1" x14ac:dyDescent="0.25">
      <c r="B7" s="373" t="str">
        <f>+IF(B5="Posturas móviles","Posturas cubicadas","        ")</f>
        <v>Posturas cubicadas</v>
      </c>
      <c r="C7" s="428">
        <v>5</v>
      </c>
      <c r="D7" s="77"/>
      <c r="E7" s="77"/>
      <c r="F7" s="79"/>
      <c r="G7" s="79"/>
      <c r="H7" s="80"/>
      <c r="I7" s="383"/>
      <c r="O7" s="72"/>
    </row>
    <row r="8" spans="1:18" ht="19.5" hidden="1" customHeight="1" x14ac:dyDescent="0.25">
      <c r="B8" s="371"/>
      <c r="C8" s="98">
        <f>+IF($B$5="Posturas móviles",($C$7*'Diseño Aspersión'!$D$54),'Diseño Aspersión'!$D$35*'Diseño Aspersión'!$D$54)</f>
        <v>8.7272727272727266</v>
      </c>
      <c r="D8" s="77"/>
      <c r="E8" s="77"/>
      <c r="F8" s="79"/>
      <c r="G8" s="79"/>
      <c r="H8" s="80"/>
      <c r="I8" s="81"/>
      <c r="O8" s="72"/>
    </row>
    <row r="9" spans="1:18" ht="19.5" customHeight="1" x14ac:dyDescent="0.25">
      <c r="B9" s="76"/>
      <c r="C9" s="77"/>
      <c r="D9" s="77"/>
      <c r="E9" s="77"/>
      <c r="F9" s="79"/>
      <c r="G9" s="79"/>
      <c r="H9" s="80"/>
      <c r="I9" s="511"/>
      <c r="J9" s="511"/>
      <c r="K9" s="511"/>
      <c r="O9" s="72"/>
    </row>
    <row r="10" spans="1:18" ht="25.5" x14ac:dyDescent="0.25">
      <c r="B10" s="82" t="s">
        <v>76</v>
      </c>
      <c r="C10" s="512" t="s">
        <v>77</v>
      </c>
      <c r="D10" s="513"/>
      <c r="E10" s="83" t="s">
        <v>78</v>
      </c>
      <c r="F10" s="83" t="s">
        <v>79</v>
      </c>
      <c r="G10" s="83" t="s">
        <v>80</v>
      </c>
      <c r="H10" s="84" t="s">
        <v>81</v>
      </c>
      <c r="I10" s="84" t="s">
        <v>82</v>
      </c>
      <c r="K10" s="85"/>
      <c r="L10" s="86"/>
      <c r="M10" s="86"/>
      <c r="N10" s="86"/>
      <c r="O10" s="87"/>
    </row>
    <row r="11" spans="1:18" x14ac:dyDescent="0.25">
      <c r="B11" s="85"/>
      <c r="C11" s="85"/>
      <c r="D11" s="85"/>
      <c r="E11" s="85"/>
      <c r="F11" s="88"/>
      <c r="G11" s="88"/>
      <c r="O11" s="72"/>
    </row>
    <row r="12" spans="1:18" x14ac:dyDescent="0.25">
      <c r="B12" s="76" t="s">
        <v>83</v>
      </c>
      <c r="C12" s="85"/>
      <c r="D12" s="85"/>
      <c r="E12" s="85"/>
      <c r="F12" s="88"/>
      <c r="G12" s="88"/>
      <c r="O12" s="72"/>
    </row>
    <row r="13" spans="1:18" x14ac:dyDescent="0.25">
      <c r="A13" s="89"/>
      <c r="B13" s="78"/>
      <c r="C13" s="77"/>
      <c r="D13" s="77"/>
      <c r="E13" s="79"/>
      <c r="F13" s="79"/>
      <c r="G13" s="79"/>
      <c r="H13" s="75"/>
      <c r="I13" s="90"/>
      <c r="J13" s="90"/>
      <c r="K13" s="90"/>
      <c r="L13" s="90"/>
      <c r="M13" s="90"/>
      <c r="N13" s="90"/>
      <c r="O13" s="91"/>
      <c r="P13" s="86"/>
      <c r="Q13" s="86"/>
    </row>
    <row r="14" spans="1:18" ht="17.25" customHeight="1" x14ac:dyDescent="0.25">
      <c r="A14" s="69"/>
      <c r="B14" s="92" t="s">
        <v>84</v>
      </c>
      <c r="C14" s="93"/>
      <c r="D14" s="93"/>
      <c r="E14" s="93"/>
      <c r="F14" s="94" t="s">
        <v>53</v>
      </c>
      <c r="G14" s="95">
        <f>SUM(F16:F34)</f>
        <v>0</v>
      </c>
      <c r="O14" s="72"/>
      <c r="P14" s="86"/>
      <c r="Q14" s="86"/>
    </row>
    <row r="15" spans="1:18" ht="17.25" customHeight="1" x14ac:dyDescent="0.25">
      <c r="A15" s="429" t="s">
        <v>33</v>
      </c>
      <c r="B15" s="189" t="s">
        <v>250</v>
      </c>
      <c r="C15" s="77"/>
      <c r="D15" s="77"/>
      <c r="E15" s="77"/>
      <c r="F15" s="190"/>
      <c r="G15" s="97"/>
      <c r="O15" s="72"/>
      <c r="P15" s="86"/>
      <c r="Q15" s="86"/>
    </row>
    <row r="16" spans="1:18" ht="16.5" customHeight="1" x14ac:dyDescent="0.25">
      <c r="A16" s="89">
        <f>$C$8*IF(B16="Diámetro no disponible",0,IF((POWER(('Diseño Aspersión'!$D$39)/(1000*1.2*3.141592654),0.5)*2000)&lt;=17.6,('Diseño Aspersión'!$D$45),0))</f>
        <v>0</v>
      </c>
      <c r="B16" s="66" t="str">
        <f>+IF($A$15="Polietileno","Polietileno Ø20 mm",IF($A$15="PVC hidráulico","PVC Hidráulico Ø20 mm",IF($A$15="PVC acople rápido","Diámetro no disponible","Diámetro no disponible")))</f>
        <v>Polietileno Ø20 mm</v>
      </c>
      <c r="C16" s="77">
        <f t="shared" ref="C16:C34" si="0">IF(A16&gt;0,ROUND(A16/6+2,0),0)</f>
        <v>0</v>
      </c>
      <c r="D16" s="77" t="s">
        <v>85</v>
      </c>
      <c r="E16" s="79">
        <f t="shared" ref="E16:E21" si="1">ROUND(H16*(1-I16/100)*(1-J16/100)*(1-K16/100)*(1-L16/100)*(1-M16/100)*(1-N16/100)*(1+$I$5/100),0)</f>
        <v>0</v>
      </c>
      <c r="F16" s="79">
        <f t="shared" ref="F16:F34" si="2">ROUND(C16*E16,0)</f>
        <v>0</v>
      </c>
      <c r="G16" s="79"/>
      <c r="H16" s="415"/>
      <c r="I16" s="430"/>
      <c r="J16" s="90"/>
      <c r="K16" s="90"/>
      <c r="L16" s="90"/>
      <c r="M16" s="90"/>
      <c r="N16" s="90"/>
      <c r="O16" s="91"/>
      <c r="P16" s="86"/>
      <c r="Q16" s="86"/>
      <c r="R16" s="89"/>
    </row>
    <row r="17" spans="1:18" ht="16.5" customHeight="1" x14ac:dyDescent="0.25">
      <c r="A17" s="89">
        <f>$C$8*IF($B$16="Diámetro no disponible",0,(IF(AND((POWER(('Diseño Aspersión'!$D$39)/(1000*1.2*3.141592654),0.5)*2000)&gt;=17.6,((POWER(('Diseño Aspersión'!$D$39)/(1000*1.2*3.141592654),0.5)*2000)&lt;=22)),('Diseño Aspersión'!$D$45),0)))</f>
        <v>0</v>
      </c>
      <c r="B17" s="66" t="str">
        <f>+IF($A$15="Polietileno","Polietileno Ø25 mm",IF($A$15="PVC hidráulico","PVC Hidráulico Ø25 mm",IF($A$15="PVC acople rápido","Diámetro no disponible","Diámetro no disponible")))</f>
        <v>Polietileno Ø25 mm</v>
      </c>
      <c r="C17" s="77">
        <f t="shared" si="0"/>
        <v>0</v>
      </c>
      <c r="D17" s="77" t="s">
        <v>85</v>
      </c>
      <c r="E17" s="79">
        <f t="shared" si="1"/>
        <v>0</v>
      </c>
      <c r="F17" s="79">
        <f t="shared" si="2"/>
        <v>0</v>
      </c>
      <c r="G17" s="79"/>
      <c r="H17" s="415"/>
      <c r="I17" s="430"/>
      <c r="J17" s="90"/>
      <c r="K17" s="90"/>
      <c r="L17" s="90"/>
      <c r="M17" s="90"/>
      <c r="N17" s="90"/>
      <c r="O17" s="91"/>
      <c r="P17" s="86"/>
      <c r="Q17" s="86"/>
      <c r="R17" s="89"/>
    </row>
    <row r="18" spans="1:18" ht="16.5" customHeight="1" x14ac:dyDescent="0.25">
      <c r="A18" s="89">
        <f>$C$8*IF($B$16="Diámetro no disponible",0,(IF(AND((POWER(('Diseño Aspersión'!$D$39)/(1000*1.2*3.141592654),0.5)*2000)&gt;=22,((POWER(('Diseño Aspersión'!$D$39)/(1000*1.2*3.141592654),0.5)*2000)&lt;=28)),('Diseño Aspersión'!$D$45),0)))</f>
        <v>0</v>
      </c>
      <c r="B18" s="66" t="str">
        <f>+IF($A$15="Polietileno","Polietileno Ø32 mm",IF($A$15="PVC hidráulico","PVC Hidráulico Ø32 mm",IF($A$15="PVC acople rápido","Diámetro no disponible","Diámetro no disponible")))</f>
        <v>Polietileno Ø32 mm</v>
      </c>
      <c r="C18" s="77">
        <f>IF(A18&gt;0,ROUND(A18/6+2,0),0)</f>
        <v>0</v>
      </c>
      <c r="D18" s="77" t="s">
        <v>85</v>
      </c>
      <c r="E18" s="79">
        <f t="shared" si="1"/>
        <v>0</v>
      </c>
      <c r="F18" s="79">
        <f t="shared" si="2"/>
        <v>0</v>
      </c>
      <c r="G18" s="79"/>
      <c r="H18" s="415"/>
      <c r="I18" s="430"/>
      <c r="J18" s="90"/>
      <c r="K18" s="90"/>
      <c r="L18" s="90"/>
      <c r="M18" s="90"/>
      <c r="N18" s="90"/>
      <c r="O18" s="91"/>
      <c r="P18" s="86"/>
      <c r="Q18" s="86"/>
      <c r="R18" s="89"/>
    </row>
    <row r="19" spans="1:18" ht="16.5" customHeight="1" x14ac:dyDescent="0.25">
      <c r="A19" s="89">
        <f>$C$8*IF($B$16="Diámetro no disponible",0,(IF(AND((POWER(('Diseño Aspersión'!$D$39)/(1000*1.2*3.141592654),0.5)*2000)&gt;=28,((POWER(('Diseño Aspersión'!$D$39)/(1000*1.2*3.141592654),0.5)*2000)&lt;=36)),('Diseño Aspersión'!$D$45),0)))</f>
        <v>479.99999999999994</v>
      </c>
      <c r="B19" s="66" t="str">
        <f>+IF($A$15="Polietileno","Polietileno Ø40 mm",IF($A$15="PVC hidráulico","PVC Hidráulico Ø40 mm",IF($A$15="PVC acople rápido","Diámetro no disponible","Diámetro no disponible")))</f>
        <v>Polietileno Ø40 mm</v>
      </c>
      <c r="C19" s="77">
        <f t="shared" si="0"/>
        <v>82</v>
      </c>
      <c r="D19" s="77" t="s">
        <v>85</v>
      </c>
      <c r="E19" s="79">
        <f t="shared" si="1"/>
        <v>0</v>
      </c>
      <c r="F19" s="79">
        <f t="shared" si="2"/>
        <v>0</v>
      </c>
      <c r="G19" s="79"/>
      <c r="H19" s="415"/>
      <c r="I19" s="430"/>
      <c r="J19" s="90"/>
      <c r="K19" s="90"/>
      <c r="L19" s="90"/>
      <c r="M19" s="90"/>
      <c r="N19" s="90"/>
      <c r="O19" s="91"/>
      <c r="P19" s="86"/>
      <c r="Q19" s="86"/>
      <c r="R19" s="89"/>
    </row>
    <row r="20" spans="1:18" ht="16.5" customHeight="1" x14ac:dyDescent="0.25">
      <c r="A20" s="89">
        <f>$C$8*(IF(AND((POWER(('Diseño Aspersión'!$D$39)/(1000*1.2*3.141592654),0.5)*2000)&gt;=36,((POWER(('Diseño Aspersión'!$D$39)/(1000*1.2*3.141592654),0.5)*2000)&lt;=46.4)),('Diseño Aspersión'!$D$45),0))+$C$8*IF((POWER(('Diseño Aspersión'!$D$39)/(1000*1.2*3.141592654),0.5)*2000)&lt;=17.6,('Diseño Aspersión'!$D$45),0)+$C$8*(IF(AND((POWER(('Diseño Aspersión'!$D$39)/(1000*1.2*3.141592654),0.5)*2000)&gt;=17.6,((POWER(('Diseño Aspersión'!$D$39)/(1000*1.2*3.141592654),0.5)*2000)&lt;=22)),('Diseño Aspersión'!$D$45),0))+$C$8*(IF(AND((POWER(('Diseño Aspersión'!$D$39)/(1000*1.2*3.141592654),0.5)*2000)&gt;=22,((POWER(('Diseño Aspersión'!$D$39)/(1000*1.2*3.141592654),0.5)*2000)&lt;=28)),('Diseño Aspersión'!$D$45),0))+$C$8*(IF(AND((POWER(('Diseño Aspersión'!$D$39)/(1000*1.2*3.141592654),0.5)*2000)&gt;=28,((POWER(('Diseño Aspersión'!$D$39)/(1000*1.2*3.141592654),0.5)*2000)&lt;=36)),('Diseño Aspersión'!$D$45),0))-A16-A17-A18-A19</f>
        <v>0</v>
      </c>
      <c r="B20" s="66" t="str">
        <f>+IF($A$15="Polietileno","Polietileno Ø50 mm",IF($A$15="PVC hidráulico","PVC Hidráulico Ø50 mm",IF($A$15="PVC acople rápido","PVC Acople rápido Ø50 mm","Metal Ø50 mm")))</f>
        <v>Polietileno Ø50 mm</v>
      </c>
      <c r="C20" s="77">
        <f t="shared" si="0"/>
        <v>0</v>
      </c>
      <c r="D20" s="77" t="s">
        <v>85</v>
      </c>
      <c r="E20" s="79">
        <f t="shared" si="1"/>
        <v>0</v>
      </c>
      <c r="F20" s="79">
        <f t="shared" si="2"/>
        <v>0</v>
      </c>
      <c r="G20" s="79"/>
      <c r="H20" s="415"/>
      <c r="I20" s="430"/>
      <c r="J20" s="90"/>
      <c r="K20" s="90"/>
      <c r="L20" s="90"/>
      <c r="M20" s="90"/>
      <c r="N20" s="90"/>
      <c r="O20" s="91"/>
      <c r="P20" s="86"/>
      <c r="Q20" s="86"/>
      <c r="R20" s="89"/>
    </row>
    <row r="21" spans="1:18" ht="16.5" customHeight="1" x14ac:dyDescent="0.25">
      <c r="A21" s="89">
        <f>$C$8*(IF(AND((POWER(('Diseño Aspersión'!$D$39)/(1000*1.2*3.141592654),0.5)*2000)&gt;=46.4,((POWER(('Diseño Aspersión'!$D$39)/(1000*1.2*3.141592654),0.5)*2000)&lt;=58.6)),('Diseño Aspersión'!$D$45),0))</f>
        <v>0</v>
      </c>
      <c r="B21" s="66" t="str">
        <f>+IF($A$15="Polietileno","Polietileno Ø63 mm",IF($A$15="PVC hidráulico","PVC Hidráulico Ø63 mm",IF($A$15="PVC acople rápido","PVC Acople rápido Ø63 mm","Metal Ø63 mm")))</f>
        <v>Polietileno Ø63 mm</v>
      </c>
      <c r="C21" s="77">
        <f t="shared" ref="C21" si="3">IF(A21&gt;0,ROUND(A21/6+2,0),0)</f>
        <v>0</v>
      </c>
      <c r="D21" s="77" t="s">
        <v>85</v>
      </c>
      <c r="E21" s="79">
        <f t="shared" si="1"/>
        <v>0</v>
      </c>
      <c r="F21" s="79">
        <f t="shared" ref="F21" si="4">ROUND(C21*E21,0)</f>
        <v>0</v>
      </c>
      <c r="G21" s="79"/>
      <c r="H21" s="415"/>
      <c r="I21" s="430"/>
      <c r="J21" s="90"/>
      <c r="K21" s="90"/>
      <c r="L21" s="90"/>
      <c r="M21" s="90"/>
      <c r="N21" s="90"/>
      <c r="O21" s="91"/>
      <c r="P21" s="86"/>
      <c r="Q21" s="86"/>
      <c r="R21" s="89"/>
    </row>
    <row r="22" spans="1:18" ht="17.25" customHeight="1" x14ac:dyDescent="0.25">
      <c r="A22" s="429" t="s">
        <v>251</v>
      </c>
      <c r="B22" s="189" t="s">
        <v>132</v>
      </c>
      <c r="C22" s="77"/>
      <c r="D22" s="77"/>
      <c r="E22" s="77"/>
      <c r="F22" s="190"/>
      <c r="G22" s="97"/>
      <c r="H22" s="416"/>
      <c r="J22" s="69"/>
      <c r="K22" s="69"/>
      <c r="L22" s="69"/>
      <c r="M22" s="69"/>
      <c r="N22" s="69"/>
      <c r="O22" s="72"/>
      <c r="P22" s="86"/>
      <c r="Q22" s="86"/>
    </row>
    <row r="23" spans="1:18" ht="16.5" customHeight="1" x14ac:dyDescent="0.25">
      <c r="A23" s="89">
        <f>+IF((POWER(('Diseño Aspersión'!$D$39)/(1000*1.2*3.141592654),0.5)*2000)&lt;46.4,'Diseño Aspersión'!$D$46,0)</f>
        <v>130</v>
      </c>
      <c r="B23" s="66" t="str">
        <f>+IF($A$22="Polietileno","Polietileno Ø50 mm",IF($A$22="PVC hidráulico","PVC Hidráulico Ø50 mm",IF($A$22="PVC acople rápido","PVC Acople rápido Ø50 mm","Metal Ø50 mm")))</f>
        <v>PVC Acople rápido Ø50 mm</v>
      </c>
      <c r="C23" s="77">
        <f>IF(A23&gt;0,ROUND(A23/6+2,0),0)</f>
        <v>24</v>
      </c>
      <c r="D23" s="77" t="s">
        <v>85</v>
      </c>
      <c r="E23" s="79">
        <f>ROUND(H23*(1-I23/100)*(1-J23/100)*(1-K23/100)*(1-L23/100)*(1-M23/100)*(1-N23/100)*(1+$I$5/100),0)</f>
        <v>0</v>
      </c>
      <c r="F23" s="79">
        <f t="shared" ref="F23:F25" si="5">ROUND(C23*E23,0)</f>
        <v>0</v>
      </c>
      <c r="G23" s="79"/>
      <c r="H23" s="415"/>
      <c r="I23" s="430"/>
      <c r="J23" s="90"/>
      <c r="K23" s="90"/>
      <c r="L23" s="90"/>
      <c r="M23" s="90"/>
      <c r="N23" s="90"/>
      <c r="O23" s="91"/>
      <c r="P23" s="86"/>
      <c r="Q23" s="86"/>
    </row>
    <row r="24" spans="1:18" ht="16.5" customHeight="1" x14ac:dyDescent="0.25">
      <c r="A24" s="89">
        <f>(IF(AND((POWER(('Diseño Aspersión'!$D$39)/(1000*1.2*3.141592654),0.5)*2000)&gt;=46.4,((POWER(('Diseño Aspersión'!$D$39)/(1000*1.2*3.141592654),0.5)*2000)&lt;=58.6)),('Diseño Aspersión'!$D$46),0))</f>
        <v>0</v>
      </c>
      <c r="B24" s="66" t="str">
        <f>+IF($A$22="Polietileno","Polietileno Ø63 mm",IF($A$22="PVC hidráulico","PVC Hidráulico Ø63 mm",IF($A$22="PVC acople rápido","PVC Acople rápido Ø63 mm","Metal Ø63 mm")))</f>
        <v>PVC Acople rápido Ø63 mm</v>
      </c>
      <c r="C24" s="77">
        <f t="shared" ref="C24:C25" si="6">IF(A24&gt;0,ROUND(A24/6+2,0),0)</f>
        <v>0</v>
      </c>
      <c r="D24" s="77" t="s">
        <v>85</v>
      </c>
      <c r="E24" s="79">
        <f>ROUND(H24*(1-I24/100)*(1-J24/100)*(1-K24/100)*(1-L24/100)*(1-M24/100)*(1-N24/100)*(1+$I$5/100),0)</f>
        <v>0</v>
      </c>
      <c r="F24" s="79">
        <f t="shared" si="5"/>
        <v>0</v>
      </c>
      <c r="G24" s="79"/>
      <c r="H24" s="415"/>
      <c r="I24" s="430"/>
      <c r="J24" s="90"/>
      <c r="K24" s="90"/>
      <c r="L24" s="90"/>
      <c r="M24" s="90"/>
      <c r="N24" s="90"/>
      <c r="O24" s="91"/>
      <c r="P24" s="86"/>
      <c r="Q24" s="86"/>
    </row>
    <row r="25" spans="1:18" ht="16.5" customHeight="1" x14ac:dyDescent="0.25">
      <c r="A25" s="89">
        <f>(IF(AND((POWER(('Diseño Aspersión'!$D$39)/(1000*1.2*3.141592654),0.5)*2000)&gt;=58.6,((POWER(('Diseño Aspersión'!$D$39)/(1000*1.2*3.141592654),0.5)*2000)&lt;=69.8)),('Diseño Aspersión'!$D$46),0))</f>
        <v>0</v>
      </c>
      <c r="B25" s="66" t="str">
        <f>+IF($A$22="Polietileno","Polietileno Ø75 mm",IF($A$22="PVC hidráulico","PVC Hidráulico Ø75 mm",IF($A$22="PVC acople rápido","PVC Acople rápido Ø75 mm","Metal Ø75 mm")))</f>
        <v>PVC Acople rápido Ø75 mm</v>
      </c>
      <c r="C25" s="77">
        <f t="shared" si="6"/>
        <v>0</v>
      </c>
      <c r="D25" s="77" t="s">
        <v>85</v>
      </c>
      <c r="E25" s="79">
        <f>ROUND(H25*(1-I25/100)*(1-J25/100)*(1-K25/100)*(1-L25/100)*(1-M25/100)*(1-N25/100)*(1+$I$5/100),0)</f>
        <v>0</v>
      </c>
      <c r="F25" s="79">
        <f t="shared" si="5"/>
        <v>0</v>
      </c>
      <c r="G25" s="79"/>
      <c r="H25" s="415"/>
      <c r="I25" s="430"/>
      <c r="J25" s="90"/>
      <c r="K25" s="90"/>
      <c r="L25" s="90"/>
      <c r="M25" s="90"/>
      <c r="N25" s="90"/>
      <c r="O25" s="91"/>
      <c r="P25" s="86"/>
      <c r="Q25" s="86"/>
    </row>
    <row r="26" spans="1:18" ht="16.5" customHeight="1" x14ac:dyDescent="0.25">
      <c r="A26" s="89">
        <f>(IF(AND((POWER(('Diseño Aspersión'!$D$39)/(1000*1.2*3.141592654),0.5)*2000)&gt;=69.8,((POWER(('Diseño Aspersión'!$D$39)/(1000*1.2*3.141592654),0.5)*2000)&lt;=83.8)),('Diseño Aspersión'!$D$46),0))</f>
        <v>0</v>
      </c>
      <c r="B26" s="66" t="str">
        <f>+IF($A$22="Polietileno","Polietileno Ø90 mm",IF($A$22="PVC hidráulico","PVC Hidráulico Ø90 mm",IF($A$22="PVC acople rápido","PVC Acople rápido Ø90 mm","Metal Ø90 mm")))</f>
        <v>PVC Acople rápido Ø90 mm</v>
      </c>
      <c r="C26" s="77">
        <f t="shared" ref="C26" si="7">IF(A26&gt;0,ROUND(A26/6+2,0),0)</f>
        <v>0</v>
      </c>
      <c r="D26" s="77" t="s">
        <v>85</v>
      </c>
      <c r="E26" s="79">
        <f>ROUND(H26*(1-I26/100)*(1-J26/100)*(1-K26/100)*(1-L26/100)*(1-M26/100)*(1-N26/100)*(1+$I$5/100),0)</f>
        <v>0</v>
      </c>
      <c r="F26" s="79">
        <f t="shared" ref="F26" si="8">ROUND(C26*E26,0)</f>
        <v>0</v>
      </c>
      <c r="G26" s="79"/>
      <c r="H26" s="415"/>
      <c r="I26" s="430"/>
      <c r="J26" s="90"/>
      <c r="K26" s="90"/>
      <c r="L26" s="90"/>
      <c r="M26" s="90"/>
      <c r="N26" s="90"/>
      <c r="O26" s="91"/>
      <c r="P26" s="86"/>
      <c r="Q26" s="86"/>
    </row>
    <row r="27" spans="1:18" ht="16.5" customHeight="1" x14ac:dyDescent="0.25">
      <c r="A27" s="89"/>
      <c r="B27" s="78"/>
      <c r="C27" s="77"/>
      <c r="D27" s="77"/>
      <c r="E27" s="79"/>
      <c r="F27" s="79"/>
      <c r="G27" s="79"/>
      <c r="H27" s="418"/>
      <c r="I27" s="90"/>
      <c r="J27" s="90"/>
      <c r="K27" s="90"/>
      <c r="L27" s="90"/>
      <c r="M27" s="90"/>
      <c r="N27" s="90"/>
      <c r="O27" s="91"/>
      <c r="P27" s="86"/>
      <c r="Q27" s="86"/>
    </row>
    <row r="28" spans="1:18" ht="17.25" customHeight="1" x14ac:dyDescent="0.25">
      <c r="A28" s="429" t="s">
        <v>252</v>
      </c>
      <c r="B28" s="189" t="s">
        <v>131</v>
      </c>
      <c r="C28" s="77"/>
      <c r="D28" s="77"/>
      <c r="E28" s="77"/>
      <c r="F28" s="190"/>
      <c r="G28" s="97"/>
      <c r="H28" s="416"/>
      <c r="J28" s="69"/>
      <c r="K28" s="69"/>
      <c r="L28" s="69"/>
      <c r="M28" s="69"/>
      <c r="N28" s="69"/>
      <c r="O28" s="72"/>
      <c r="P28" s="86"/>
      <c r="Q28" s="86"/>
    </row>
    <row r="29" spans="1:18" ht="16.5" customHeight="1" x14ac:dyDescent="0.25">
      <c r="A29" s="89">
        <f>+IF((POWER(('Diseño Aspersión'!$D$39)/(1000*1.2*3.141592654),0.5)*2000)&lt;58.6,'Diseño Aspersión'!$D$47,0)</f>
        <v>0</v>
      </c>
      <c r="B29" s="66" t="str">
        <f>+IF($A$28="Polietileno","Polietileno Ø63 mm",IF($A$28="PVC hidráulico","PVC Hidráulico Ø63 mm",IF($A$28="PVC acople rápido","PVC Acople rápido Ø63 mm","Metal Ø63 mm")))</f>
        <v>PVC Hidráulico Ø63 mm</v>
      </c>
      <c r="C29" s="77">
        <f>IF(A29&gt;0,ROUND(A29/6+2,0),0)</f>
        <v>0</v>
      </c>
      <c r="D29" s="77" t="s">
        <v>85</v>
      </c>
      <c r="E29" s="79">
        <f t="shared" ref="E29:E34" si="9">ROUND(H29*(1-I29/100)*(1-J29/100)*(1-K29/100)*(1-L29/100)*(1-M29/100)*(1-N29/100)*(1+$I$5/100),0)</f>
        <v>0</v>
      </c>
      <c r="F29" s="79">
        <f t="shared" ref="F29:F31" si="10">ROUND(C29*E29,0)</f>
        <v>0</v>
      </c>
      <c r="G29" s="79"/>
      <c r="H29" s="415"/>
      <c r="I29" s="430"/>
      <c r="J29" s="90"/>
      <c r="K29" s="90"/>
      <c r="L29" s="90"/>
      <c r="M29" s="90"/>
      <c r="N29" s="90"/>
      <c r="O29" s="91"/>
      <c r="P29" s="86"/>
      <c r="Q29" s="86"/>
    </row>
    <row r="30" spans="1:18" ht="16.5" customHeight="1" x14ac:dyDescent="0.25">
      <c r="A30" s="89">
        <f>(IF(AND((POWER(('Diseño Aspersión'!$D$39)/(1000*1.2*3.141592654),0.5)*2000)&gt;=58.6,((POWER(('Diseño Aspersión'!$D$39)/(1000*1.2*3.141592654),0.5)*2000)&lt;=69.8)),('Diseño Aspersión'!$D$47),0))</f>
        <v>0</v>
      </c>
      <c r="B30" s="66" t="str">
        <f>+IF($A$28="Polietileno","Polietileno Ø75 mm",IF($A$28="PVC hidráulico","PVC Hidráulico Ø75 mm",IF($A$28="PVC acople rápido","PVC Acople rápido Ø75 mm","Metal Ø75 mm")))</f>
        <v>PVC Hidráulico Ø75 mm</v>
      </c>
      <c r="C30" s="77">
        <f t="shared" ref="C30:C31" si="11">IF(A30&gt;0,ROUND(A30/6+2,0),0)</f>
        <v>0</v>
      </c>
      <c r="D30" s="77" t="s">
        <v>85</v>
      </c>
      <c r="E30" s="79">
        <f t="shared" si="9"/>
        <v>0</v>
      </c>
      <c r="F30" s="79">
        <f t="shared" si="10"/>
        <v>0</v>
      </c>
      <c r="G30" s="79"/>
      <c r="H30" s="415"/>
      <c r="I30" s="430"/>
      <c r="J30" s="90"/>
      <c r="K30" s="90"/>
      <c r="L30" s="90"/>
      <c r="M30" s="90"/>
      <c r="N30" s="90"/>
      <c r="O30" s="91"/>
      <c r="P30" s="86"/>
      <c r="Q30" s="86"/>
    </row>
    <row r="31" spans="1:18" ht="16.5" customHeight="1" x14ac:dyDescent="0.25">
      <c r="A31" s="89">
        <f>(IF(AND((POWER(('Diseño Aspersión'!$D$39)/(1000*1.2*3.141592654),0.5)*2000)&gt;=69.8,((POWER(('Diseño Aspersión'!$D$39)/(1000*1.2*3.141592654),0.5)*2000)&lt;=83.8)),('Diseño Aspersión'!$D$47),0))</f>
        <v>0</v>
      </c>
      <c r="B31" s="66" t="str">
        <f>+IF($A$28="Polietileno","Polietileno Ø90 mm",IF($A$28="PVC hidráulico","PVC Hidráulico Ø90 mm",IF($A$28="PVC acople rápido","PVC Acople rápido Ø90 mm","Metal Ø90 mm")))</f>
        <v>PVC Hidráulico Ø90 mm</v>
      </c>
      <c r="C31" s="77">
        <f t="shared" si="11"/>
        <v>0</v>
      </c>
      <c r="D31" s="77" t="s">
        <v>85</v>
      </c>
      <c r="E31" s="79">
        <f t="shared" si="9"/>
        <v>0</v>
      </c>
      <c r="F31" s="79">
        <f t="shared" si="10"/>
        <v>0</v>
      </c>
      <c r="G31" s="79"/>
      <c r="H31" s="415"/>
      <c r="I31" s="430"/>
      <c r="J31" s="90"/>
      <c r="K31" s="90"/>
      <c r="L31" s="90"/>
      <c r="M31" s="90"/>
      <c r="N31" s="90"/>
      <c r="O31" s="91"/>
      <c r="P31" s="86"/>
      <c r="Q31" s="86"/>
    </row>
    <row r="32" spans="1:18" ht="16.5" hidden="1" customHeight="1" x14ac:dyDescent="0.25">
      <c r="A32" s="89"/>
      <c r="B32" s="78" t="s">
        <v>64</v>
      </c>
      <c r="C32" s="77">
        <f t="shared" si="0"/>
        <v>0</v>
      </c>
      <c r="D32" s="77" t="s">
        <v>85</v>
      </c>
      <c r="E32" s="79">
        <f t="shared" si="9"/>
        <v>0</v>
      </c>
      <c r="F32" s="79">
        <f t="shared" si="2"/>
        <v>0</v>
      </c>
      <c r="G32" s="79"/>
      <c r="H32" s="417"/>
      <c r="I32" s="90">
        <f>I20</f>
        <v>0</v>
      </c>
      <c r="J32" s="90">
        <f>J20</f>
        <v>0</v>
      </c>
      <c r="K32" s="90">
        <v>-13</v>
      </c>
      <c r="L32" s="90">
        <v>0</v>
      </c>
      <c r="M32" s="90">
        <v>0</v>
      </c>
      <c r="N32" s="90"/>
      <c r="O32" s="91"/>
      <c r="P32" s="86"/>
      <c r="Q32" s="86"/>
    </row>
    <row r="33" spans="1:17" ht="16.5" hidden="1" customHeight="1" x14ac:dyDescent="0.25">
      <c r="A33" s="89"/>
      <c r="B33" s="78" t="s">
        <v>57</v>
      </c>
      <c r="C33" s="77">
        <f t="shared" si="0"/>
        <v>0</v>
      </c>
      <c r="D33" s="77" t="s">
        <v>85</v>
      </c>
      <c r="E33" s="79">
        <f t="shared" si="9"/>
        <v>0</v>
      </c>
      <c r="F33" s="79">
        <f t="shared" si="2"/>
        <v>0</v>
      </c>
      <c r="G33" s="79"/>
      <c r="H33" s="417"/>
      <c r="I33" s="90">
        <f t="shared" ref="I33:J33" si="12">I32</f>
        <v>0</v>
      </c>
      <c r="J33" s="90">
        <f t="shared" si="12"/>
        <v>0</v>
      </c>
      <c r="K33" s="90">
        <v>-13</v>
      </c>
      <c r="L33" s="90">
        <v>0</v>
      </c>
      <c r="M33" s="90">
        <v>0</v>
      </c>
      <c r="N33" s="90"/>
      <c r="O33" s="91"/>
      <c r="P33" s="86"/>
      <c r="Q33" s="86"/>
    </row>
    <row r="34" spans="1:17" ht="16.5" hidden="1" customHeight="1" x14ac:dyDescent="0.25">
      <c r="A34" s="89"/>
      <c r="B34" s="78" t="s">
        <v>58</v>
      </c>
      <c r="C34" s="77">
        <f t="shared" si="0"/>
        <v>0</v>
      </c>
      <c r="D34" s="77" t="s">
        <v>85</v>
      </c>
      <c r="E34" s="79">
        <f t="shared" si="9"/>
        <v>0</v>
      </c>
      <c r="F34" s="79">
        <f t="shared" si="2"/>
        <v>0</v>
      </c>
      <c r="G34" s="79"/>
      <c r="H34" s="417"/>
      <c r="I34" s="90">
        <v>48.16</v>
      </c>
      <c r="J34" s="90">
        <f>J33</f>
        <v>0</v>
      </c>
      <c r="K34" s="90">
        <v>-13</v>
      </c>
      <c r="L34" s="90">
        <v>0</v>
      </c>
      <c r="M34" s="90">
        <v>0</v>
      </c>
      <c r="N34" s="90"/>
      <c r="O34" s="91"/>
      <c r="P34" s="86"/>
      <c r="Q34" s="86"/>
    </row>
    <row r="35" spans="1:17" ht="16.5" customHeight="1" x14ac:dyDescent="0.25">
      <c r="A35" s="69"/>
      <c r="B35" s="100"/>
      <c r="C35" s="79"/>
      <c r="D35" s="77"/>
      <c r="E35" s="79"/>
      <c r="F35" s="79"/>
      <c r="G35" s="79"/>
      <c r="H35" s="416"/>
      <c r="I35" s="101"/>
      <c r="J35" s="90"/>
      <c r="K35" s="69"/>
      <c r="L35" s="69"/>
      <c r="M35" s="69"/>
      <c r="N35" s="69"/>
      <c r="O35" s="72"/>
    </row>
    <row r="36" spans="1:17" ht="17.25" customHeight="1" x14ac:dyDescent="0.25">
      <c r="A36" s="69"/>
      <c r="B36" s="102" t="s">
        <v>257</v>
      </c>
      <c r="C36" s="93"/>
      <c r="D36" s="93"/>
      <c r="E36" s="103"/>
      <c r="F36" s="103"/>
      <c r="G36" s="95">
        <f>SUM(F38:F40)</f>
        <v>0</v>
      </c>
      <c r="H36" s="416"/>
      <c r="J36" s="384"/>
      <c r="K36" s="69"/>
      <c r="L36" s="69"/>
      <c r="M36" s="69"/>
      <c r="N36" s="69"/>
      <c r="O36" s="72"/>
      <c r="P36" s="69"/>
      <c r="Q36" s="69"/>
    </row>
    <row r="37" spans="1:17" ht="17.25" hidden="1" customHeight="1" x14ac:dyDescent="0.25">
      <c r="A37" s="69"/>
      <c r="B37" s="191"/>
      <c r="C37" s="98"/>
      <c r="D37" s="77"/>
      <c r="E37" s="79"/>
      <c r="F37" s="79"/>
      <c r="G37" s="97"/>
      <c r="H37" s="416"/>
      <c r="J37" s="384"/>
      <c r="K37" s="69"/>
      <c r="L37" s="69"/>
      <c r="M37" s="69"/>
      <c r="N37" s="69"/>
      <c r="O37" s="72"/>
      <c r="P37" s="69"/>
      <c r="Q37" s="69"/>
    </row>
    <row r="38" spans="1:17" ht="15" x14ac:dyDescent="0.25">
      <c r="A38" s="69"/>
      <c r="B38" s="105" t="str">
        <f>+'Diseño Aspersión'!D25</f>
        <v>Aspersor Sime Junior      540 l/h</v>
      </c>
      <c r="C38" s="106">
        <f>IF($B$5="Cobertura total",'Diseño Aspersión'!$D$37*'Diseño Aspersión'!$D$35,('Diseño Aspersión'!$D$37*$C$7))</f>
        <v>40</v>
      </c>
      <c r="D38" s="77" t="s">
        <v>85</v>
      </c>
      <c r="E38" s="79">
        <f>ROUND(H38*(1-I38/100)*(1-J38/100)*(1-K38/100)*(1-L38/100)*(1-M38/100)*(1-N38/100)*(1+$I$5/100),0)</f>
        <v>0</v>
      </c>
      <c r="F38" s="79">
        <f>ROUND(C38*E38,0)</f>
        <v>0</v>
      </c>
      <c r="G38" s="79"/>
      <c r="H38" s="419"/>
      <c r="I38" s="431"/>
      <c r="J38" s="90"/>
      <c r="K38" s="69"/>
      <c r="L38" s="69"/>
      <c r="M38" s="69"/>
      <c r="N38" s="69"/>
      <c r="O38" s="72"/>
      <c r="P38" s="69"/>
      <c r="Q38" s="69"/>
    </row>
    <row r="39" spans="1:17" ht="15" x14ac:dyDescent="0.25">
      <c r="A39" s="69"/>
      <c r="B39" s="105" t="s">
        <v>255</v>
      </c>
      <c r="C39" s="106">
        <f>IF($B$5="Cobertura total",'Diseño Aspersión'!$D$37*'Diseño Aspersión'!$D$35,('Diseño Aspersión'!$D$37*$C$7))</f>
        <v>40</v>
      </c>
      <c r="D39" s="77" t="s">
        <v>85</v>
      </c>
      <c r="E39" s="79">
        <f>ROUND(H39*(1-I39/100)*(1-J39/100)*(1-K39/100)*(1-L39/100)*(1-M39/100)*(1-N39/100)*(1+$I$5/100),0)</f>
        <v>0</v>
      </c>
      <c r="F39" s="79">
        <f>ROUND(C39*E39,0)</f>
        <v>0</v>
      </c>
      <c r="G39" s="79"/>
      <c r="H39" s="419"/>
      <c r="I39" s="431"/>
      <c r="J39" s="90"/>
      <c r="K39" s="69"/>
      <c r="L39" s="69"/>
      <c r="M39" s="69"/>
      <c r="N39" s="69"/>
      <c r="O39" s="72"/>
      <c r="P39" s="69"/>
      <c r="Q39" s="69"/>
    </row>
    <row r="40" spans="1:17" ht="15" x14ac:dyDescent="0.25">
      <c r="A40" s="69"/>
      <c r="B40" s="105" t="s">
        <v>254</v>
      </c>
      <c r="C40" s="106">
        <f>IF($B$5="Cobertura total",'Diseño Aspersión'!$D$37*'Diseño Aspersión'!$D$35,('Diseño Aspersión'!$D$37*$C$7))</f>
        <v>40</v>
      </c>
      <c r="D40" s="77" t="s">
        <v>85</v>
      </c>
      <c r="E40" s="79">
        <f>ROUND(H40*(1-I40/100)*(1-J40/100)*(1-K40/100)*(1-L40/100)*(1-M40/100)*(1-N40/100)*(1+$I$5/100),0)</f>
        <v>0</v>
      </c>
      <c r="F40" s="79">
        <f>ROUND(C40*E40,0)</f>
        <v>0</v>
      </c>
      <c r="G40" s="79"/>
      <c r="H40" s="419"/>
      <c r="I40" s="431"/>
      <c r="J40" s="90"/>
      <c r="K40" s="69"/>
      <c r="L40" s="69"/>
      <c r="M40" s="69"/>
      <c r="N40" s="69"/>
      <c r="O40" s="72"/>
      <c r="P40" s="69"/>
      <c r="Q40" s="69"/>
    </row>
    <row r="41" spans="1:17" x14ac:dyDescent="0.25">
      <c r="A41" s="69"/>
      <c r="C41" s="107"/>
      <c r="D41" s="77"/>
      <c r="E41" s="79"/>
      <c r="F41" s="79"/>
      <c r="G41" s="79"/>
      <c r="H41" s="416"/>
      <c r="I41" s="101"/>
      <c r="J41" s="90"/>
      <c r="K41" s="69"/>
      <c r="L41" s="69"/>
      <c r="M41" s="69"/>
      <c r="N41" s="69"/>
      <c r="O41" s="72"/>
      <c r="P41" s="69"/>
      <c r="Q41" s="69"/>
    </row>
    <row r="42" spans="1:17" ht="17.25" customHeight="1" x14ac:dyDescent="0.25">
      <c r="A42" s="69"/>
      <c r="B42" s="102" t="s">
        <v>258</v>
      </c>
      <c r="C42" s="108"/>
      <c r="D42" s="93"/>
      <c r="E42" s="103"/>
      <c r="F42" s="103"/>
      <c r="G42" s="95">
        <f>SUM(F43:F43)</f>
        <v>0</v>
      </c>
      <c r="H42" s="416"/>
      <c r="I42" s="71"/>
      <c r="J42" s="69"/>
      <c r="K42" s="69"/>
      <c r="L42" s="69"/>
      <c r="M42" s="69"/>
      <c r="N42" s="69"/>
      <c r="O42" s="72"/>
    </row>
    <row r="43" spans="1:17" s="69" customFormat="1" x14ac:dyDescent="0.25">
      <c r="B43" s="105" t="str">
        <f>+("Hidrantes"&amp;" "&amp;" "&amp;'Diseño Aspersión'!$D$52)</f>
        <v>Hidrantes  1¨</v>
      </c>
      <c r="C43" s="69">
        <f>+'Diseño Aspersión'!D51</f>
        <v>2</v>
      </c>
      <c r="D43" s="69" t="s">
        <v>85</v>
      </c>
      <c r="E43" s="67">
        <f t="shared" ref="E43" si="13">ROUND(H43*(1-I43/100)*(1-J43/100)*(1-K43/100)*(1-L43/100)*(1-M43/100)*(1-N43/100)*(1+$I$5/100),0)</f>
        <v>0</v>
      </c>
      <c r="F43" s="68">
        <f t="shared" ref="F43" si="14">ROUND(C43*E43,0)</f>
        <v>0</v>
      </c>
      <c r="G43" s="68"/>
      <c r="H43" s="415"/>
      <c r="I43" s="432"/>
      <c r="O43" s="72"/>
      <c r="P43" s="66"/>
      <c r="Q43" s="66"/>
    </row>
    <row r="44" spans="1:17" x14ac:dyDescent="0.25">
      <c r="A44" s="69"/>
      <c r="C44" s="68"/>
      <c r="E44" s="67"/>
      <c r="H44" s="416"/>
      <c r="I44" s="101"/>
      <c r="J44" s="123"/>
      <c r="K44" s="123"/>
      <c r="L44" s="69"/>
      <c r="M44" s="69"/>
      <c r="N44" s="69"/>
      <c r="O44" s="72"/>
    </row>
    <row r="45" spans="1:17" x14ac:dyDescent="0.25">
      <c r="A45" s="69"/>
      <c r="B45" s="102" t="s">
        <v>68</v>
      </c>
      <c r="C45" s="108"/>
      <c r="D45" s="93"/>
      <c r="E45" s="103"/>
      <c r="F45" s="103"/>
      <c r="G45" s="95">
        <f>SUM(F46:F50)</f>
        <v>0</v>
      </c>
      <c r="H45" s="416"/>
      <c r="I45" s="101"/>
      <c r="J45" s="69"/>
      <c r="K45" s="69"/>
      <c r="L45" s="69"/>
      <c r="M45" s="69"/>
      <c r="N45" s="69"/>
      <c r="O45" s="72"/>
    </row>
    <row r="46" spans="1:17" x14ac:dyDescent="0.25">
      <c r="A46" s="69"/>
      <c r="B46" s="109" t="s">
        <v>70</v>
      </c>
      <c r="C46" s="98">
        <v>1</v>
      </c>
      <c r="D46" s="77" t="s">
        <v>85</v>
      </c>
      <c r="E46" s="67">
        <f>ROUND(H46*(1-I46/100)*(1-J46/100)*(1-K46/100)*(1-L46/100)*(1-M46/100)*(1-N46/100)*(1+$I$5/100),0)</f>
        <v>0</v>
      </c>
      <c r="F46" s="79">
        <f>ROUND(C46*E46,0)</f>
        <v>0</v>
      </c>
      <c r="G46" s="97"/>
      <c r="H46" s="415"/>
      <c r="I46" s="431"/>
      <c r="J46" s="69"/>
      <c r="K46" s="69"/>
      <c r="L46" s="69"/>
      <c r="M46" s="69"/>
      <c r="N46" s="69"/>
      <c r="O46" s="72"/>
    </row>
    <row r="47" spans="1:17" ht="15" customHeight="1" x14ac:dyDescent="0.25">
      <c r="A47" s="69"/>
      <c r="B47" s="73" t="s">
        <v>96</v>
      </c>
      <c r="C47" s="124">
        <v>1</v>
      </c>
      <c r="D47" s="77" t="s">
        <v>85</v>
      </c>
      <c r="E47" s="67">
        <f>ROUND(H47*(1-I47/100)*(1-J47/100)*(1-K47/100)*(1-L47/100)*(1-M47/100)*(1-N47/100)*(1+$I$5/100),0)</f>
        <v>0</v>
      </c>
      <c r="F47" s="79">
        <f>ROUND(C47*E47,0)</f>
        <v>0</v>
      </c>
      <c r="G47" s="79"/>
      <c r="H47" s="415"/>
      <c r="I47" s="431"/>
      <c r="J47" s="69"/>
      <c r="K47" s="69"/>
      <c r="L47" s="69"/>
      <c r="M47" s="69"/>
      <c r="N47" s="69"/>
      <c r="O47" s="72"/>
    </row>
    <row r="48" spans="1:17" ht="15" customHeight="1" x14ac:dyDescent="0.25">
      <c r="A48" s="125"/>
      <c r="B48" s="109" t="s">
        <v>71</v>
      </c>
      <c r="C48" s="124">
        <f>SUM(C43)</f>
        <v>2</v>
      </c>
      <c r="D48" s="77" t="s">
        <v>85</v>
      </c>
      <c r="E48" s="67">
        <f>ROUND(H48*(1-I48/100)*(1-J48/100)*(1-K48/100)*(1-L48/100)*(1-M48/100)*(1-N48/100)*(1+$I$5/100),0)</f>
        <v>0</v>
      </c>
      <c r="F48" s="79">
        <f>ROUND(C48*E48,0)</f>
        <v>0</v>
      </c>
      <c r="G48" s="79"/>
      <c r="H48" s="415"/>
      <c r="I48" s="431"/>
      <c r="J48" s="69"/>
      <c r="K48" s="69"/>
      <c r="L48" s="69"/>
      <c r="M48" s="69"/>
      <c r="N48" s="69"/>
      <c r="O48" s="72"/>
    </row>
    <row r="49" spans="1:17" ht="28.5" hidden="1" customHeight="1" x14ac:dyDescent="0.25">
      <c r="A49" s="69"/>
      <c r="B49" s="109" t="s">
        <v>69</v>
      </c>
      <c r="C49" s="124"/>
      <c r="D49" s="77" t="s">
        <v>85</v>
      </c>
      <c r="E49" s="67">
        <f>ROUND(H49*(1-I49/100)*(1-J49/100)*(1-K49/100)*(1-L49/100)*(1-M49/100)*(1-N49/100)*(1+$I$5/100),0)</f>
        <v>0</v>
      </c>
      <c r="F49" s="79">
        <f>ROUND(C49*E49,0)</f>
        <v>0</v>
      </c>
      <c r="G49" s="99"/>
      <c r="H49" s="415"/>
      <c r="I49" s="431"/>
      <c r="J49" s="69"/>
      <c r="K49" s="69"/>
      <c r="L49" s="69"/>
      <c r="M49" s="69"/>
      <c r="N49" s="69"/>
      <c r="O49" s="72"/>
    </row>
    <row r="50" spans="1:17" x14ac:dyDescent="0.25">
      <c r="A50" s="69"/>
      <c r="B50" s="109" t="str">
        <f>+("Caudalímetro"&amp;" "&amp;" "&amp;'Diseño Aspersión'!$D$52)</f>
        <v>Caudalímetro  1¨</v>
      </c>
      <c r="C50" s="124">
        <v>1</v>
      </c>
      <c r="D50" s="77" t="s">
        <v>85</v>
      </c>
      <c r="E50" s="67">
        <f>ROUND(H50*(1-I50/100)*(1-J50/100)*(1-K50/100)*(1-L50/100)*(1-M50/100)*(1-N50/100)*(1+$I$14/100),0)</f>
        <v>0</v>
      </c>
      <c r="F50" s="79">
        <f>ROUND(C50*E50,0)</f>
        <v>0</v>
      </c>
      <c r="G50" s="99"/>
      <c r="H50" s="415"/>
      <c r="I50" s="431"/>
      <c r="J50" s="69"/>
      <c r="K50" s="69"/>
      <c r="L50" s="69"/>
      <c r="M50" s="69"/>
      <c r="N50" s="69"/>
      <c r="O50" s="72"/>
    </row>
    <row r="51" spans="1:17" x14ac:dyDescent="0.25">
      <c r="A51" s="69"/>
      <c r="B51" s="100"/>
      <c r="C51" s="98"/>
      <c r="D51" s="77"/>
      <c r="E51" s="79"/>
      <c r="F51" s="79"/>
      <c r="G51" s="79"/>
      <c r="H51" s="416"/>
      <c r="I51" s="101"/>
      <c r="J51" s="69"/>
      <c r="K51" s="69"/>
      <c r="L51" s="69"/>
      <c r="M51" s="69"/>
      <c r="N51" s="69"/>
      <c r="O51" s="72"/>
    </row>
    <row r="52" spans="1:17" s="69" customFormat="1" hidden="1" x14ac:dyDescent="0.25">
      <c r="B52" s="105"/>
      <c r="E52" s="68"/>
      <c r="F52" s="68"/>
      <c r="G52" s="68"/>
      <c r="H52" s="416"/>
      <c r="I52" s="101"/>
      <c r="O52" s="72"/>
    </row>
    <row r="53" spans="1:17" s="69" customFormat="1" x14ac:dyDescent="0.25">
      <c r="B53" s="126" t="s">
        <v>97</v>
      </c>
      <c r="E53" s="68"/>
      <c r="F53" s="68"/>
      <c r="G53" s="68"/>
      <c r="H53" s="416"/>
      <c r="I53" s="101"/>
      <c r="O53" s="72"/>
    </row>
    <row r="54" spans="1:17" hidden="1" x14ac:dyDescent="0.25">
      <c r="A54" s="69"/>
      <c r="B54" s="77"/>
      <c r="C54" s="98"/>
      <c r="D54" s="77"/>
      <c r="E54" s="79"/>
      <c r="F54" s="127"/>
      <c r="G54" s="79"/>
      <c r="H54" s="416"/>
      <c r="J54" s="69"/>
      <c r="K54" s="69"/>
      <c r="L54" s="69"/>
      <c r="M54" s="69"/>
      <c r="N54" s="69"/>
      <c r="O54" s="72"/>
      <c r="P54" s="69"/>
      <c r="Q54" s="69"/>
    </row>
    <row r="55" spans="1:17" x14ac:dyDescent="0.25">
      <c r="A55" s="69"/>
      <c r="B55" s="77"/>
      <c r="C55" s="98"/>
      <c r="D55" s="77"/>
      <c r="E55" s="79"/>
      <c r="F55" s="79"/>
      <c r="G55" s="79"/>
      <c r="H55" s="416"/>
      <c r="J55" s="69"/>
      <c r="K55" s="69"/>
      <c r="L55" s="69"/>
      <c r="M55" s="69"/>
      <c r="N55" s="69"/>
      <c r="O55" s="72"/>
    </row>
    <row r="56" spans="1:17" x14ac:dyDescent="0.25">
      <c r="A56" s="69"/>
      <c r="B56" s="102" t="s">
        <v>74</v>
      </c>
      <c r="C56" s="108"/>
      <c r="D56" s="93"/>
      <c r="E56" s="103"/>
      <c r="F56" s="121"/>
      <c r="G56" s="96">
        <f>SUM(F57:F57)</f>
        <v>0</v>
      </c>
      <c r="H56" s="416"/>
      <c r="J56" s="123"/>
      <c r="K56" s="123"/>
      <c r="L56" s="69"/>
      <c r="M56" s="69"/>
      <c r="N56" s="69"/>
      <c r="O56" s="72"/>
    </row>
    <row r="57" spans="1:17" x14ac:dyDescent="0.25">
      <c r="A57" s="69"/>
      <c r="B57" s="129" t="str">
        <f>+("Filtro"&amp;" caudal mínimo"&amp;" "&amp;(ROUND('Diseño Aspersión'!$D$59*1.1,2))&amp;" l/s")</f>
        <v>Filtro caudal mínimo 1,32 l/s</v>
      </c>
      <c r="C57" s="69">
        <v>1</v>
      </c>
      <c r="D57" s="69" t="s">
        <v>85</v>
      </c>
      <c r="E57" s="68">
        <f>ROUND(H57*(1-I57/100)*(1-J57/100)*(1-K57/100)*(1-L57/100)*(1-M57/100)*(1-N57/100)*(1+$I$5/100),0)</f>
        <v>0</v>
      </c>
      <c r="F57" s="68">
        <f>ROUND(C57*E57,0)</f>
        <v>0</v>
      </c>
      <c r="G57" s="68"/>
      <c r="H57" s="415"/>
      <c r="I57" s="431"/>
      <c r="J57" s="123"/>
      <c r="K57" s="123"/>
      <c r="L57" s="69"/>
      <c r="M57" s="69"/>
      <c r="N57" s="69"/>
      <c r="O57" s="72"/>
    </row>
    <row r="58" spans="1:17" x14ac:dyDescent="0.25">
      <c r="A58" s="69"/>
      <c r="E58" s="67"/>
      <c r="F58" s="130"/>
      <c r="H58" s="416"/>
      <c r="J58" s="69"/>
      <c r="K58" s="69"/>
      <c r="L58" s="69"/>
      <c r="M58" s="69"/>
      <c r="N58" s="69"/>
      <c r="O58" s="72"/>
    </row>
    <row r="59" spans="1:17" ht="17.25" customHeight="1" x14ac:dyDescent="0.25">
      <c r="A59" s="69"/>
      <c r="B59" s="102" t="s">
        <v>99</v>
      </c>
      <c r="C59" s="93"/>
      <c r="D59" s="93"/>
      <c r="E59" s="103"/>
      <c r="F59" s="103"/>
      <c r="G59" s="96">
        <f>SUM(F60:F60)</f>
        <v>0</v>
      </c>
      <c r="H59" s="416"/>
      <c r="J59" s="69"/>
      <c r="K59" s="69"/>
      <c r="L59" s="69"/>
      <c r="M59" s="69"/>
      <c r="N59" s="69"/>
      <c r="O59" s="72"/>
    </row>
    <row r="60" spans="1:17" s="69" customFormat="1" x14ac:dyDescent="0.25">
      <c r="A60" s="98"/>
      <c r="B60" s="128" t="str">
        <f>+("Bomba"&amp;" "&amp;'Diseño Aspersión'!$D$62&amp;" HP ("&amp;(ROUND('Diseño Aspersión'!$D$59*1.1,2))&amp;" l/s ;" &amp;ROUND('Diseño Aspersión'!$D$60,0)&amp;" m.c.a)")</f>
        <v>Bomba 1,5 HP (1,32 l/s ;41 m.c.a)</v>
      </c>
      <c r="C60" s="98">
        <v>1</v>
      </c>
      <c r="D60" s="98" t="s">
        <v>85</v>
      </c>
      <c r="E60" s="68">
        <f>ROUND(H60*(1-I60/100)*(1-J60/100)*(1-K60/100)*(1-L60/100)*(1-M60/100)*(1-N60/100)*(1+$I$5/100),0)</f>
        <v>0</v>
      </c>
      <c r="F60" s="99">
        <f>ROUND(C60*E60,0)</f>
        <v>0</v>
      </c>
      <c r="G60" s="99"/>
      <c r="H60" s="423"/>
      <c r="I60" s="431"/>
      <c r="J60" s="101"/>
      <c r="O60" s="72"/>
      <c r="P60" s="66"/>
      <c r="Q60" s="66"/>
    </row>
    <row r="61" spans="1:17" x14ac:dyDescent="0.25">
      <c r="A61" s="69"/>
      <c r="B61" s="131"/>
      <c r="C61" s="77"/>
      <c r="D61" s="77"/>
      <c r="E61" s="79"/>
      <c r="F61" s="127"/>
      <c r="G61" s="79"/>
      <c r="H61" s="416"/>
      <c r="I61" s="101"/>
      <c r="J61" s="69"/>
      <c r="K61" s="69"/>
      <c r="L61" s="69"/>
      <c r="M61" s="69"/>
      <c r="N61" s="69"/>
      <c r="O61" s="72"/>
    </row>
    <row r="62" spans="1:17" ht="17.25" customHeight="1" x14ac:dyDescent="0.25">
      <c r="A62" s="69"/>
      <c r="B62" s="102" t="s">
        <v>100</v>
      </c>
      <c r="C62" s="93"/>
      <c r="D62" s="93"/>
      <c r="E62" s="103"/>
      <c r="F62" s="103"/>
      <c r="G62" s="95">
        <f>SUM(F63:F63)</f>
        <v>0</v>
      </c>
      <c r="H62" s="416"/>
      <c r="J62" s="69"/>
      <c r="K62" s="69"/>
      <c r="L62" s="69"/>
      <c r="M62" s="69"/>
      <c r="N62" s="69"/>
      <c r="O62" s="72"/>
    </row>
    <row r="63" spans="1:17" s="69" customFormat="1" ht="25.5" customHeight="1" x14ac:dyDescent="0.25">
      <c r="B63" s="518" t="str">
        <f>("Tablero de fuerza para motor eléctrico de "&amp;'Diseño Aspersión'!$D$62&amp;" HP"&amp;" Relé asimetría, horómetro, amperímetro, int. Horario .Guardanivel")</f>
        <v>Tablero de fuerza para motor eléctrico de 1,5 HP Relé asimetría, horómetro, amperímetro, int. Horario .Guardanivel</v>
      </c>
      <c r="C63" s="98">
        <v>1</v>
      </c>
      <c r="D63" s="98" t="s">
        <v>85</v>
      </c>
      <c r="E63" s="67">
        <f>ROUND(H63*(1-I63/100)*(1-J63/100)*(1-K63/100)*(1-L63/100)*(1-M63/100)*(1-N63/100)*(1+$I$5/100),0)</f>
        <v>0</v>
      </c>
      <c r="F63" s="68">
        <f>ROUND(C63*E63,0)</f>
        <v>0</v>
      </c>
      <c r="G63" s="132"/>
      <c r="H63" s="423"/>
      <c r="I63" s="431"/>
      <c r="O63" s="72"/>
    </row>
    <row r="64" spans="1:17" s="69" customFormat="1" x14ac:dyDescent="0.25">
      <c r="B64" s="516"/>
      <c r="C64" s="98"/>
      <c r="D64" s="98"/>
      <c r="E64" s="68"/>
      <c r="F64" s="99"/>
      <c r="G64" s="132"/>
      <c r="H64" s="416"/>
      <c r="I64" s="101"/>
      <c r="O64" s="72"/>
    </row>
    <row r="65" spans="1:17" x14ac:dyDescent="0.25">
      <c r="A65" s="69"/>
      <c r="B65" s="77"/>
      <c r="C65" s="77"/>
      <c r="D65" s="77"/>
      <c r="E65" s="79"/>
      <c r="F65" s="79"/>
      <c r="G65" s="79"/>
      <c r="H65" s="416"/>
      <c r="J65" s="69"/>
      <c r="K65" s="69"/>
      <c r="L65" s="69"/>
      <c r="M65" s="69"/>
      <c r="N65" s="69"/>
      <c r="O65" s="72"/>
    </row>
    <row r="66" spans="1:17" ht="17.25" customHeight="1" x14ac:dyDescent="0.25">
      <c r="A66" s="69"/>
      <c r="B66" s="102" t="s">
        <v>101</v>
      </c>
      <c r="C66" s="93"/>
      <c r="D66" s="93"/>
      <c r="E66" s="103"/>
      <c r="F66" s="103"/>
      <c r="G66" s="133">
        <f>SUM(F67:F70)</f>
        <v>0</v>
      </c>
      <c r="H66" s="416"/>
      <c r="I66" s="101"/>
      <c r="J66" s="69"/>
      <c r="K66" s="69"/>
      <c r="L66" s="69"/>
      <c r="M66" s="69"/>
      <c r="N66" s="69"/>
      <c r="O66" s="72"/>
    </row>
    <row r="67" spans="1:17" s="69" customFormat="1" x14ac:dyDescent="0.25">
      <c r="B67" s="128" t="str">
        <f>+("Válvula de pie "&amp;'Diseño Aspersión'!$D$52)</f>
        <v>Válvula de pie 1¨</v>
      </c>
      <c r="C67" s="69">
        <v>1</v>
      </c>
      <c r="D67" s="69" t="s">
        <v>85</v>
      </c>
      <c r="E67" s="67">
        <f>ROUND(H67*(1-I67/100)*(1-J67/100)*(1-K67/100)*(1-L67/100)*(1-M67/100)*(1-N67/100)*(1+$I$5/100),0)</f>
        <v>0</v>
      </c>
      <c r="F67" s="68">
        <f>ROUND(C67*E67,0)</f>
        <v>0</v>
      </c>
      <c r="G67" s="68"/>
      <c r="H67" s="415"/>
      <c r="I67" s="432"/>
      <c r="O67" s="72"/>
      <c r="P67" s="66"/>
      <c r="Q67" s="66"/>
    </row>
    <row r="68" spans="1:17" s="69" customFormat="1" x14ac:dyDescent="0.25">
      <c r="B68" s="128" t="str">
        <f>+("Válvula mariposa volante "&amp;'Diseño Aspersión'!$D$52)</f>
        <v>Válvula mariposa volante 1¨</v>
      </c>
      <c r="C68" s="69">
        <v>1</v>
      </c>
      <c r="D68" s="69" t="s">
        <v>85</v>
      </c>
      <c r="E68" s="67">
        <f>ROUND(H68*(1-I68/100)*(1-J68/100)*(1-K68/100)*(1-L68/100)*(1-M68/100)*(1-N68/100)*(1+$I$5/100),0)</f>
        <v>0</v>
      </c>
      <c r="F68" s="68">
        <f>ROUND(C68*E68,0)</f>
        <v>0</v>
      </c>
      <c r="G68" s="68"/>
      <c r="H68" s="415"/>
      <c r="I68" s="432"/>
      <c r="O68" s="72"/>
      <c r="P68" s="66"/>
      <c r="Q68" s="66"/>
    </row>
    <row r="69" spans="1:17" x14ac:dyDescent="0.25">
      <c r="A69" s="69"/>
      <c r="B69" s="128" t="str">
        <f>+("Válvula retención "&amp;'Diseño Aspersión'!$D$52)</f>
        <v>Válvula retención 1¨</v>
      </c>
      <c r="C69" s="66">
        <v>1</v>
      </c>
      <c r="D69" s="66" t="s">
        <v>85</v>
      </c>
      <c r="E69" s="67">
        <f>ROUND(H69*(1-I69/100)*(1-J69/100)*(1-K69/100)*(1-L69/100)*(1-M69/100)*(1-N69/100)*(1+$I$5/100),0)</f>
        <v>0</v>
      </c>
      <c r="F69" s="67">
        <f>ROUND(C69*E69,0)</f>
        <v>0</v>
      </c>
      <c r="H69" s="415"/>
      <c r="I69" s="432"/>
      <c r="J69" s="123"/>
      <c r="K69" s="123"/>
      <c r="L69" s="69"/>
      <c r="M69" s="69"/>
      <c r="N69" s="69"/>
      <c r="O69" s="72"/>
    </row>
    <row r="70" spans="1:17" hidden="1" x14ac:dyDescent="0.25">
      <c r="A70" s="69"/>
      <c r="B70" s="128" t="s">
        <v>102</v>
      </c>
      <c r="D70" s="66" t="s">
        <v>85</v>
      </c>
      <c r="E70" s="67">
        <f>ROUND(H70*(1-I70/100)*(1-J70/100)*(1-K70/100)*(1-L70/100)*(1-M70/100)*(1-N70/100)*(1+$I$5/100),0)</f>
        <v>0</v>
      </c>
      <c r="F70" s="67">
        <f>ROUND(C70*E70,0)</f>
        <v>0</v>
      </c>
      <c r="H70" s="417"/>
      <c r="I70" s="68"/>
      <c r="J70" s="123"/>
      <c r="K70" s="123"/>
      <c r="L70" s="69"/>
      <c r="M70" s="69"/>
      <c r="N70" s="69"/>
      <c r="O70" s="72"/>
    </row>
    <row r="71" spans="1:17" s="69" customFormat="1" x14ac:dyDescent="0.25">
      <c r="B71" s="134"/>
      <c r="C71" s="98"/>
      <c r="D71" s="98"/>
      <c r="E71" s="99"/>
      <c r="F71" s="135"/>
      <c r="G71" s="99"/>
      <c r="H71" s="416"/>
      <c r="I71" s="101"/>
      <c r="O71" s="72"/>
      <c r="P71" s="66"/>
      <c r="Q71" s="66"/>
    </row>
    <row r="72" spans="1:17" s="69" customFormat="1" x14ac:dyDescent="0.25">
      <c r="A72" s="56"/>
      <c r="B72" s="514" t="s">
        <v>103</v>
      </c>
      <c r="C72" s="515"/>
      <c r="D72" s="515"/>
      <c r="E72" s="515"/>
      <c r="F72" s="136"/>
      <c r="G72" s="137">
        <f>SUM(F73:F81)</f>
        <v>0</v>
      </c>
      <c r="H72" s="420"/>
      <c r="I72" s="382"/>
      <c r="J72" s="56"/>
      <c r="K72" s="56"/>
      <c r="L72" s="56"/>
      <c r="M72" s="56"/>
      <c r="N72" s="56"/>
      <c r="O72" s="138"/>
      <c r="P72" s="56"/>
    </row>
    <row r="73" spans="1:17" s="69" customFormat="1" x14ac:dyDescent="0.2">
      <c r="A73" s="56"/>
      <c r="B73" s="139" t="s">
        <v>138</v>
      </c>
      <c r="C73" s="66">
        <v>1</v>
      </c>
      <c r="D73" s="2" t="s">
        <v>85</v>
      </c>
      <c r="E73" s="140">
        <f t="shared" ref="E73:E80" si="15">ROUND(H73*(1-I73/100)*(1-J73/100),0)</f>
        <v>0</v>
      </c>
      <c r="F73" s="141">
        <f t="shared" ref="F73:F80" si="16">ROUND(C73*E73,0)</f>
        <v>0</v>
      </c>
      <c r="G73" s="141"/>
      <c r="H73" s="423"/>
      <c r="I73" s="433"/>
      <c r="J73" s="56"/>
      <c r="K73" s="56"/>
      <c r="L73" s="56"/>
      <c r="M73" s="56"/>
      <c r="N73" s="56"/>
      <c r="O73" s="138"/>
      <c r="P73" s="56"/>
    </row>
    <row r="74" spans="1:17" s="69" customFormat="1" hidden="1" x14ac:dyDescent="0.2">
      <c r="A74" s="142"/>
      <c r="B74" s="143" t="s">
        <v>104</v>
      </c>
      <c r="C74" s="144"/>
      <c r="D74" s="145" t="s">
        <v>85</v>
      </c>
      <c r="E74" s="140">
        <f t="shared" si="15"/>
        <v>0</v>
      </c>
      <c r="F74" s="146">
        <f t="shared" si="16"/>
        <v>0</v>
      </c>
      <c r="G74" s="147"/>
      <c r="H74" s="424"/>
      <c r="I74" s="116"/>
      <c r="O74" s="148"/>
    </row>
    <row r="75" spans="1:17" s="69" customFormat="1" hidden="1" x14ac:dyDescent="0.2">
      <c r="A75" s="149"/>
      <c r="B75" s="143" t="s">
        <v>105</v>
      </c>
      <c r="C75" s="150"/>
      <c r="D75" s="151" t="s">
        <v>85</v>
      </c>
      <c r="E75" s="140">
        <f t="shared" si="15"/>
        <v>0</v>
      </c>
      <c r="F75" s="152">
        <f t="shared" si="16"/>
        <v>0</v>
      </c>
      <c r="G75" s="153"/>
      <c r="H75" s="424"/>
      <c r="I75" s="116"/>
      <c r="O75" s="148"/>
    </row>
    <row r="76" spans="1:17" s="69" customFormat="1" hidden="1" x14ac:dyDescent="0.2">
      <c r="A76" s="149"/>
      <c r="B76" s="154" t="s">
        <v>106</v>
      </c>
      <c r="C76" s="155">
        <v>0</v>
      </c>
      <c r="D76" s="156" t="s">
        <v>85</v>
      </c>
      <c r="E76" s="140">
        <f t="shared" si="15"/>
        <v>0</v>
      </c>
      <c r="F76" s="157">
        <f t="shared" si="16"/>
        <v>0</v>
      </c>
      <c r="G76" s="99"/>
      <c r="H76" s="424"/>
      <c r="I76" s="116"/>
      <c r="J76" s="385"/>
      <c r="K76" s="385"/>
      <c r="L76" s="385"/>
      <c r="M76" s="385"/>
      <c r="N76" s="385"/>
      <c r="O76" s="148"/>
      <c r="P76" s="158"/>
    </row>
    <row r="77" spans="1:17" s="69" customFormat="1" hidden="1" x14ac:dyDescent="0.2">
      <c r="A77" s="149"/>
      <c r="B77" s="154" t="s">
        <v>107</v>
      </c>
      <c r="C77" s="155"/>
      <c r="D77" s="156" t="s">
        <v>85</v>
      </c>
      <c r="E77" s="140">
        <f t="shared" si="15"/>
        <v>0</v>
      </c>
      <c r="F77" s="152">
        <f t="shared" si="16"/>
        <v>0</v>
      </c>
      <c r="G77" s="99"/>
      <c r="H77" s="424"/>
      <c r="I77" s="116"/>
      <c r="J77" s="385"/>
      <c r="K77" s="385"/>
      <c r="L77" s="385"/>
      <c r="M77" s="385"/>
      <c r="N77" s="385"/>
      <c r="O77" s="148"/>
      <c r="P77" s="158"/>
    </row>
    <row r="78" spans="1:17" s="69" customFormat="1" ht="25.5" hidden="1" x14ac:dyDescent="0.2">
      <c r="A78" s="149"/>
      <c r="B78" s="159" t="s">
        <v>108</v>
      </c>
      <c r="C78" s="155"/>
      <c r="D78" s="160" t="s">
        <v>85</v>
      </c>
      <c r="E78" s="99">
        <f t="shared" si="15"/>
        <v>0</v>
      </c>
      <c r="F78" s="99">
        <f t="shared" si="16"/>
        <v>0</v>
      </c>
      <c r="G78" s="132"/>
      <c r="H78" s="424"/>
      <c r="I78" s="116"/>
      <c r="J78" s="386"/>
      <c r="K78" s="386"/>
      <c r="L78" s="386"/>
      <c r="M78" s="386"/>
      <c r="N78" s="386"/>
      <c r="O78" s="148"/>
      <c r="P78" s="161"/>
    </row>
    <row r="79" spans="1:17" s="69" customFormat="1" hidden="1" x14ac:dyDescent="0.2">
      <c r="A79" s="149"/>
      <c r="B79" s="159" t="s">
        <v>109</v>
      </c>
      <c r="C79" s="155"/>
      <c r="D79" s="156" t="s">
        <v>110</v>
      </c>
      <c r="E79" s="99">
        <f t="shared" si="15"/>
        <v>0</v>
      </c>
      <c r="F79" s="79">
        <f t="shared" si="16"/>
        <v>0</v>
      </c>
      <c r="G79" s="132"/>
      <c r="H79" s="424"/>
      <c r="I79" s="116"/>
      <c r="J79" s="386"/>
      <c r="K79" s="386"/>
      <c r="L79" s="386"/>
      <c r="M79" s="386"/>
      <c r="N79" s="386"/>
      <c r="O79" s="148"/>
      <c r="P79" s="161"/>
    </row>
    <row r="80" spans="1:17" s="69" customFormat="1" hidden="1" x14ac:dyDescent="0.2">
      <c r="A80" s="149"/>
      <c r="B80" s="159" t="s">
        <v>111</v>
      </c>
      <c r="C80" s="155"/>
      <c r="D80" s="156" t="s">
        <v>110</v>
      </c>
      <c r="E80" s="99">
        <f t="shared" si="15"/>
        <v>0</v>
      </c>
      <c r="F80" s="79">
        <f t="shared" si="16"/>
        <v>0</v>
      </c>
      <c r="G80" s="132"/>
      <c r="H80" s="424"/>
      <c r="I80" s="116"/>
      <c r="J80" s="386"/>
      <c r="K80" s="386"/>
      <c r="L80" s="386"/>
      <c r="M80" s="386"/>
      <c r="N80" s="386"/>
      <c r="O80" s="148"/>
      <c r="P80" s="161"/>
    </row>
    <row r="81" spans="1:17" s="69" customFormat="1" x14ac:dyDescent="0.25">
      <c r="B81" s="134"/>
      <c r="C81" s="98"/>
      <c r="D81" s="98"/>
      <c r="E81" s="99"/>
      <c r="F81" s="135"/>
      <c r="G81" s="99"/>
      <c r="H81" s="416"/>
      <c r="I81" s="101"/>
      <c r="O81" s="72"/>
      <c r="P81" s="66"/>
      <c r="Q81" s="66"/>
    </row>
    <row r="82" spans="1:17" x14ac:dyDescent="0.25">
      <c r="A82" s="69"/>
      <c r="B82" s="102" t="s">
        <v>112</v>
      </c>
      <c r="C82" s="93"/>
      <c r="D82" s="93"/>
      <c r="E82" s="103"/>
      <c r="F82" s="121"/>
      <c r="G82" s="96">
        <f>SUM(F83:F85)</f>
        <v>0</v>
      </c>
      <c r="H82" s="416"/>
      <c r="I82" s="101"/>
      <c r="J82" s="123"/>
      <c r="K82" s="123"/>
      <c r="L82" s="69"/>
      <c r="M82" s="69"/>
      <c r="N82" s="69"/>
      <c r="O82" s="72"/>
    </row>
    <row r="83" spans="1:17" x14ac:dyDescent="0.25">
      <c r="A83" s="98"/>
      <c r="B83" s="70" t="str">
        <f>+("Fittings de conexión de bombas y filtro "&amp;'Diseño Aspersión'!$D$52)</f>
        <v>Fittings de conexión de bombas y filtro 1¨</v>
      </c>
      <c r="C83" s="69"/>
      <c r="D83" s="69" t="s">
        <v>110</v>
      </c>
      <c r="E83" s="162"/>
      <c r="F83" s="99">
        <f>ROUND(H83*(1-I83/100)*(1-J83/100)*(1-K83/100)*(1-L83/100)*(1-M83/100)*(1-N83/100)*(1+$I$5/100),0)</f>
        <v>0</v>
      </c>
      <c r="G83" s="68"/>
      <c r="H83" s="423"/>
      <c r="I83" s="432"/>
      <c r="J83" s="123"/>
      <c r="K83" s="123"/>
      <c r="L83" s="69"/>
      <c r="M83" s="69"/>
      <c r="N83" s="69"/>
      <c r="O83" s="72"/>
    </row>
    <row r="84" spans="1:17" x14ac:dyDescent="0.25">
      <c r="A84" s="98"/>
      <c r="B84" s="73" t="s">
        <v>256</v>
      </c>
      <c r="D84" s="66" t="s">
        <v>110</v>
      </c>
      <c r="E84" s="163"/>
      <c r="F84" s="99">
        <f>ROUND(H84*(1-I84/100)*(1-J84/100)*(1-K84/100)*(1-L84/100)*(1-M84/100)*(1-N84/100)*(1+$I$5/100),0)</f>
        <v>0</v>
      </c>
      <c r="H84" s="423"/>
      <c r="I84" s="432"/>
      <c r="J84" s="68"/>
      <c r="K84" s="123"/>
      <c r="L84" s="69"/>
      <c r="M84" s="69"/>
      <c r="N84" s="69"/>
      <c r="O84" s="72"/>
    </row>
    <row r="85" spans="1:17" x14ac:dyDescent="0.25">
      <c r="A85" s="98"/>
      <c r="B85" s="70" t="s">
        <v>113</v>
      </c>
      <c r="D85" s="66" t="s">
        <v>110</v>
      </c>
      <c r="E85" s="67"/>
      <c r="F85" s="99">
        <f>ROUND(H85*(1-I85/100)*(1-J85/100)*(1-K85/100)*(1-L85/100)*(1-M85/100)*(1-N85/100)*(1+$I$5/100),0)</f>
        <v>0</v>
      </c>
      <c r="H85" s="423"/>
      <c r="I85" s="432"/>
      <c r="J85" s="123"/>
      <c r="K85" s="123"/>
      <c r="L85" s="69"/>
      <c r="M85" s="69"/>
      <c r="N85" s="69"/>
      <c r="O85" s="72"/>
    </row>
    <row r="86" spans="1:17" x14ac:dyDescent="0.25">
      <c r="A86" s="98"/>
      <c r="B86" s="73"/>
      <c r="E86" s="163"/>
      <c r="F86" s="130"/>
      <c r="G86" s="66"/>
      <c r="H86" s="416"/>
      <c r="I86" s="101"/>
      <c r="J86" s="123"/>
      <c r="K86" s="123"/>
      <c r="L86" s="69"/>
      <c r="M86" s="69"/>
      <c r="N86" s="69"/>
      <c r="O86" s="72"/>
    </row>
    <row r="87" spans="1:17" x14ac:dyDescent="0.25">
      <c r="A87" s="69"/>
      <c r="B87" s="102" t="s">
        <v>114</v>
      </c>
      <c r="C87" s="93"/>
      <c r="D87" s="93"/>
      <c r="E87" s="103"/>
      <c r="F87" s="121"/>
      <c r="G87" s="96">
        <f>SUM(F88:F88)</f>
        <v>0</v>
      </c>
      <c r="H87" s="425"/>
      <c r="I87" s="101"/>
      <c r="J87" s="123"/>
      <c r="K87" s="123"/>
      <c r="L87" s="69"/>
      <c r="M87" s="69"/>
      <c r="N87" s="69"/>
      <c r="O87" s="72"/>
    </row>
    <row r="88" spans="1:17" x14ac:dyDescent="0.25">
      <c r="A88" s="98">
        <f>+'Diseño Aspersión'!D21</f>
        <v>1</v>
      </c>
      <c r="B88" s="74" t="s">
        <v>115</v>
      </c>
      <c r="C88" s="164">
        <f>A88</f>
        <v>1</v>
      </c>
      <c r="D88" s="98" t="s">
        <v>110</v>
      </c>
      <c r="E88" s="165">
        <f>ROUND(H88*(1-I88/100),0)</f>
        <v>0</v>
      </c>
      <c r="F88" s="67">
        <f>+E88*C88</f>
        <v>0</v>
      </c>
      <c r="H88" s="426"/>
      <c r="I88" s="431"/>
      <c r="J88" s="123"/>
      <c r="K88" s="123"/>
      <c r="L88" s="69"/>
      <c r="M88" s="69"/>
      <c r="N88" s="69"/>
      <c r="O88" s="72"/>
    </row>
    <row r="89" spans="1:17" x14ac:dyDescent="0.25">
      <c r="A89" s="98"/>
      <c r="B89" s="73"/>
      <c r="E89" s="163"/>
      <c r="F89" s="130"/>
      <c r="G89" s="66"/>
      <c r="H89" s="416"/>
      <c r="I89" s="101"/>
      <c r="J89" s="123"/>
      <c r="K89" s="123"/>
      <c r="L89" s="69"/>
      <c r="M89" s="69"/>
      <c r="N89" s="69"/>
      <c r="O89" s="72"/>
    </row>
    <row r="90" spans="1:17" x14ac:dyDescent="0.25">
      <c r="A90" s="98"/>
      <c r="B90" s="102" t="s">
        <v>116</v>
      </c>
      <c r="C90" s="93"/>
      <c r="D90" s="93"/>
      <c r="E90" s="103"/>
      <c r="F90" s="121"/>
      <c r="G90" s="96">
        <f>SUM(F91:F93)</f>
        <v>0</v>
      </c>
      <c r="H90" s="416"/>
      <c r="J90" s="123"/>
      <c r="K90" s="123"/>
      <c r="L90" s="69"/>
      <c r="M90" s="69"/>
      <c r="N90" s="69"/>
      <c r="O90" s="72"/>
    </row>
    <row r="91" spans="1:17" x14ac:dyDescent="0.25">
      <c r="A91" s="98"/>
      <c r="B91" s="73" t="s">
        <v>117</v>
      </c>
      <c r="C91" s="98">
        <v>1</v>
      </c>
      <c r="D91" s="98" t="s">
        <v>110</v>
      </c>
      <c r="F91" s="99">
        <f>ROUND(H91*(1-I91/100)*(1-J91/100)*(1-K91/100)*(1-L91/100)*(1-O91/100)*(1-P44/100)*(1+$I$5/100),0)</f>
        <v>0</v>
      </c>
      <c r="G91" s="132"/>
      <c r="H91" s="423"/>
      <c r="I91" s="431"/>
      <c r="J91" s="123"/>
      <c r="K91" s="123"/>
      <c r="L91" s="69"/>
      <c r="M91" s="69"/>
      <c r="N91" s="69"/>
      <c r="O91" s="72"/>
    </row>
    <row r="92" spans="1:17" x14ac:dyDescent="0.25">
      <c r="A92" s="98"/>
      <c r="B92" s="166" t="s">
        <v>118</v>
      </c>
      <c r="C92" s="98">
        <v>1</v>
      </c>
      <c r="D92" s="98" t="s">
        <v>110</v>
      </c>
      <c r="E92" s="165">
        <f>ROUND(H92*(1-I92/100)*(1-J92/100)*(1-K92/100)*(1-L92/100)*(1-M92/100)*(1-N92/100)*(1+$I$5/100),0)</f>
        <v>0</v>
      </c>
      <c r="F92" s="99">
        <f>ROUND(C92*E92,0)</f>
        <v>0</v>
      </c>
      <c r="G92" s="132"/>
      <c r="H92" s="423"/>
      <c r="I92" s="431"/>
      <c r="J92" s="123"/>
      <c r="K92" s="123"/>
      <c r="L92" s="69"/>
      <c r="M92" s="69"/>
      <c r="N92" s="69"/>
      <c r="O92" s="72"/>
    </row>
    <row r="93" spans="1:17" x14ac:dyDescent="0.25">
      <c r="A93" s="98"/>
      <c r="B93" s="73" t="s">
        <v>119</v>
      </c>
      <c r="C93" s="66">
        <v>1</v>
      </c>
      <c r="D93" s="98" t="s">
        <v>110</v>
      </c>
      <c r="E93" s="165">
        <f>ROUND(H93*(1-I93/100),0)*$I$4</f>
        <v>0</v>
      </c>
      <c r="F93" s="99">
        <f>ROUND(H93*(1-I93/100)*(1-J93/100)*(1-K93/100)*(1-L93/100)*(1-M93/100)*(1-N93/100)*(1+$I$5/100),0)</f>
        <v>0</v>
      </c>
      <c r="H93" s="423"/>
      <c r="I93" s="431"/>
      <c r="J93" s="123"/>
      <c r="K93" s="123"/>
      <c r="L93" s="69"/>
      <c r="M93" s="69"/>
      <c r="N93" s="69"/>
      <c r="O93" s="72"/>
    </row>
    <row r="94" spans="1:17" x14ac:dyDescent="0.25">
      <c r="A94" s="69"/>
      <c r="F94" s="66"/>
      <c r="G94" s="79"/>
      <c r="H94" s="416"/>
      <c r="J94" s="69"/>
      <c r="L94" s="69"/>
      <c r="M94" s="69"/>
      <c r="N94" s="69"/>
      <c r="O94" s="72"/>
    </row>
    <row r="95" spans="1:17" ht="21.75" customHeight="1" x14ac:dyDescent="0.25">
      <c r="A95" s="69"/>
      <c r="B95" s="167"/>
      <c r="C95" s="168"/>
      <c r="D95" s="169"/>
      <c r="E95" s="168" t="s">
        <v>120</v>
      </c>
      <c r="F95" s="169"/>
      <c r="G95" s="170">
        <f>SUM(F16:F93)</f>
        <v>0</v>
      </c>
      <c r="H95" s="427"/>
      <c r="I95" s="98"/>
      <c r="J95" s="69"/>
      <c r="L95" s="69"/>
      <c r="M95" s="69"/>
      <c r="N95" s="69"/>
      <c r="O95" s="72"/>
    </row>
    <row r="96" spans="1:17" ht="21.75" customHeight="1" x14ac:dyDescent="0.25">
      <c r="A96" s="69"/>
      <c r="B96" s="172"/>
      <c r="C96" s="77"/>
      <c r="D96" s="77"/>
      <c r="E96" s="173" t="s">
        <v>121</v>
      </c>
      <c r="F96" s="77"/>
      <c r="G96" s="174">
        <f>ROUNDUP(G95*0.19,0)</f>
        <v>0</v>
      </c>
      <c r="H96" s="416"/>
      <c r="J96" s="69"/>
      <c r="L96" s="69"/>
      <c r="M96" s="69"/>
      <c r="N96" s="69"/>
      <c r="O96" s="72"/>
    </row>
    <row r="97" spans="1:15" x14ac:dyDescent="0.25">
      <c r="A97" s="69"/>
      <c r="B97" s="175"/>
      <c r="C97" s="176"/>
      <c r="D97" s="176"/>
      <c r="E97" s="177" t="s">
        <v>122</v>
      </c>
      <c r="F97" s="176"/>
      <c r="G97" s="178">
        <f>SUM(G95:G96)</f>
        <v>0</v>
      </c>
      <c r="H97" s="416"/>
      <c r="J97" s="69"/>
      <c r="L97" s="69"/>
      <c r="M97" s="69"/>
      <c r="N97" s="69"/>
      <c r="O97" s="72"/>
    </row>
    <row r="98" spans="1:15" x14ac:dyDescent="0.25">
      <c r="A98" s="69"/>
      <c r="H98" s="416"/>
      <c r="J98" s="69"/>
      <c r="L98" s="69"/>
      <c r="M98" s="69"/>
      <c r="N98" s="69"/>
      <c r="O98" s="72"/>
    </row>
    <row r="99" spans="1:15" x14ac:dyDescent="0.25">
      <c r="A99" s="69"/>
      <c r="H99" s="416"/>
      <c r="J99" s="69"/>
      <c r="L99" s="69"/>
      <c r="M99" s="69"/>
      <c r="N99" s="69"/>
      <c r="O99" s="72"/>
    </row>
    <row r="100" spans="1:15" x14ac:dyDescent="0.25">
      <c r="A100" s="69"/>
      <c r="C100" s="179"/>
      <c r="D100" s="179"/>
      <c r="E100" s="180" t="s">
        <v>123</v>
      </c>
      <c r="F100" s="171">
        <f>SUM(F10:F93)</f>
        <v>0</v>
      </c>
      <c r="G100" s="171">
        <f>SUM(G13:G90)</f>
        <v>0</v>
      </c>
      <c r="H100" s="416"/>
      <c r="J100" s="69"/>
      <c r="L100" s="69"/>
      <c r="M100" s="69"/>
      <c r="N100" s="69"/>
      <c r="O100" s="72"/>
    </row>
    <row r="101" spans="1:15" x14ac:dyDescent="0.25">
      <c r="A101" s="69"/>
      <c r="H101" s="416"/>
      <c r="J101" s="69"/>
      <c r="O101" s="72"/>
    </row>
    <row r="102" spans="1:15" x14ac:dyDescent="0.25">
      <c r="A102" s="69"/>
      <c r="H102" s="416"/>
      <c r="J102" s="69"/>
      <c r="O102" s="72"/>
    </row>
    <row r="103" spans="1:15" x14ac:dyDescent="0.25">
      <c r="A103" s="69"/>
      <c r="H103" s="416"/>
      <c r="J103" s="69"/>
      <c r="O103" s="72"/>
    </row>
    <row r="104" spans="1:15" x14ac:dyDescent="0.25">
      <c r="A104" s="69"/>
      <c r="H104" s="416"/>
      <c r="J104" s="69"/>
      <c r="O104" s="72"/>
    </row>
    <row r="105" spans="1:15" x14ac:dyDescent="0.25">
      <c r="A105" s="98"/>
      <c r="B105" s="102" t="str">
        <f>+"Equipo Fotovoltaico "&amp;fotovoltaico!D2</f>
        <v>Equipo Fotovoltaico On Grid</v>
      </c>
      <c r="C105" s="93"/>
      <c r="D105" s="93"/>
      <c r="E105" s="103"/>
      <c r="F105" s="121"/>
      <c r="G105" s="96">
        <f>SUM(F106:F108)</f>
        <v>3018009</v>
      </c>
      <c r="H105" s="416"/>
      <c r="J105" s="123"/>
      <c r="K105" s="86"/>
      <c r="L105" s="69"/>
      <c r="M105" s="69"/>
      <c r="N105" s="69"/>
      <c r="O105" s="72"/>
    </row>
    <row r="106" spans="1:15" x14ac:dyDescent="0.25">
      <c r="A106" s="98"/>
      <c r="B106" s="73" t="str">
        <f>+"Equipo fotovoltaico "&amp;fotovoltaico!D2&amp; " de "&amp;ROUND(fotovoltaico!E44,2)&amp;" kWp (mínimos)"&amp;" para consumo de "&amp;ROUND(fotovoltaico!H27,1) &amp;" Kw"</f>
        <v>Equipo fotovoltaico On Grid de 1,68 kWp (mínimos) para consumo de 1 Kw</v>
      </c>
      <c r="C106" s="98">
        <v>1</v>
      </c>
      <c r="D106" s="98" t="s">
        <v>110</v>
      </c>
      <c r="F106" s="99">
        <f>ROUND(H106*fotovoltaico!E44*(1-I106/100)*(1-J106/100)*(1-K106/100)*(1-L106/100)*(1-O122/100)*(1-P73/100)*(1+$I$5/100),0)</f>
        <v>3018009</v>
      </c>
      <c r="G106" s="132"/>
      <c r="H106" s="423">
        <v>1800000</v>
      </c>
      <c r="I106" s="431"/>
      <c r="J106" s="123"/>
      <c r="K106" s="86"/>
      <c r="L106" s="69"/>
      <c r="M106" s="69"/>
      <c r="N106" s="69"/>
      <c r="O106" s="72"/>
    </row>
    <row r="107" spans="1:15" x14ac:dyDescent="0.25">
      <c r="B107" s="66" t="str">
        <f>IF(fotovoltaico!$D$2="Off Grid c/baterias",("Banco de baterías de "&amp;ROUND(fotovoltaico!K92,2)&amp;" kWh (mínimo)"),"     ")</f>
        <v xml:space="preserve">     </v>
      </c>
      <c r="C107" s="66">
        <f>IF(fotovoltaico!$D$2="Off Grid c/baterias",1,0)</f>
        <v>0</v>
      </c>
      <c r="D107" s="66" t="s">
        <v>110</v>
      </c>
      <c r="F107" s="99">
        <f>IF(fotovoltaico!$D$2="Off Grid c/baterias",ROUND((IF(fotovoltaico!$D$2="Off Grid c/baterias",H107*fotovoltaico!K92*1000/(200*12),0))*(1-I107/100)*(1-J107/100)*(1-K107/100)*(1-L107/100)*(1-O123/100)*(1-P74/100)*(1+$I$5/100),0),0)</f>
        <v>0</v>
      </c>
      <c r="G107" s="66"/>
      <c r="H107" s="423">
        <v>350000</v>
      </c>
      <c r="I107" s="431"/>
      <c r="J107" s="69"/>
      <c r="O107" s="72"/>
    </row>
    <row r="108" spans="1:15" x14ac:dyDescent="0.25">
      <c r="F108" s="66"/>
      <c r="G108" s="66"/>
      <c r="H108" s="66"/>
      <c r="I108" s="66"/>
      <c r="J108" s="69"/>
      <c r="O108" s="72"/>
    </row>
    <row r="109" spans="1:15" x14ac:dyDescent="0.25">
      <c r="F109" s="66"/>
      <c r="G109" s="66"/>
      <c r="H109" s="66"/>
      <c r="I109" s="66"/>
      <c r="J109" s="69"/>
      <c r="O109" s="72"/>
    </row>
    <row r="110" spans="1:15" x14ac:dyDescent="0.25">
      <c r="F110" s="66"/>
      <c r="G110" s="66"/>
      <c r="H110" s="66"/>
      <c r="I110" s="66"/>
      <c r="J110" s="69"/>
      <c r="O110" s="72"/>
    </row>
    <row r="111" spans="1:15" x14ac:dyDescent="0.25">
      <c r="F111" s="66"/>
      <c r="G111" s="66"/>
      <c r="H111" s="66"/>
      <c r="I111" s="66"/>
      <c r="J111" s="69"/>
      <c r="O111" s="72"/>
    </row>
    <row r="112" spans="1:15" x14ac:dyDescent="0.25">
      <c r="F112" s="66"/>
      <c r="G112" s="66"/>
      <c r="H112" s="66"/>
      <c r="I112" s="66"/>
      <c r="J112" s="69"/>
      <c r="O112" s="72"/>
    </row>
    <row r="113" spans="6:15" x14ac:dyDescent="0.25">
      <c r="F113" s="66"/>
      <c r="G113" s="66"/>
      <c r="H113" s="66"/>
      <c r="I113" s="66"/>
      <c r="J113" s="69"/>
      <c r="O113" s="72"/>
    </row>
    <row r="114" spans="6:15" x14ac:dyDescent="0.25">
      <c r="F114" s="66"/>
      <c r="G114" s="66"/>
      <c r="H114" s="66"/>
      <c r="I114" s="66"/>
      <c r="J114" s="69"/>
      <c r="O114" s="72"/>
    </row>
    <row r="115" spans="6:15" x14ac:dyDescent="0.25">
      <c r="F115" s="66"/>
      <c r="G115" s="66"/>
      <c r="H115" s="66"/>
      <c r="I115" s="66"/>
      <c r="J115" s="69"/>
      <c r="O115" s="72"/>
    </row>
    <row r="116" spans="6:15" x14ac:dyDescent="0.25">
      <c r="F116" s="66"/>
      <c r="G116" s="66"/>
      <c r="H116" s="66"/>
      <c r="I116" s="66"/>
      <c r="J116" s="69"/>
      <c r="O116" s="72"/>
    </row>
    <row r="117" spans="6:15" x14ac:dyDescent="0.25">
      <c r="F117" s="66"/>
      <c r="G117" s="66"/>
      <c r="H117" s="66"/>
      <c r="I117" s="66"/>
      <c r="J117" s="69"/>
      <c r="O117" s="72"/>
    </row>
    <row r="118" spans="6:15" x14ac:dyDescent="0.25">
      <c r="F118" s="66"/>
      <c r="G118" s="66"/>
      <c r="H118" s="66"/>
      <c r="I118" s="66"/>
      <c r="J118" s="69"/>
      <c r="O118" s="72"/>
    </row>
    <row r="119" spans="6:15" x14ac:dyDescent="0.25">
      <c r="F119" s="66"/>
      <c r="G119" s="66"/>
      <c r="H119" s="66"/>
      <c r="I119" s="66"/>
      <c r="J119" s="69"/>
      <c r="O119" s="72"/>
    </row>
    <row r="120" spans="6:15" x14ac:dyDescent="0.25">
      <c r="F120" s="66"/>
      <c r="G120" s="66"/>
      <c r="H120" s="66"/>
      <c r="I120" s="66"/>
      <c r="J120" s="69"/>
      <c r="O120" s="72"/>
    </row>
    <row r="121" spans="6:15" x14ac:dyDescent="0.25">
      <c r="F121" s="66"/>
      <c r="G121" s="66"/>
      <c r="H121" s="66"/>
      <c r="I121" s="66"/>
      <c r="J121" s="69"/>
      <c r="O121" s="72"/>
    </row>
    <row r="122" spans="6:15" x14ac:dyDescent="0.25">
      <c r="F122" s="66"/>
      <c r="G122" s="66"/>
      <c r="H122" s="66"/>
      <c r="I122" s="66"/>
      <c r="J122" s="69"/>
      <c r="O122" s="72"/>
    </row>
    <row r="123" spans="6:15" x14ac:dyDescent="0.25">
      <c r="F123" s="66"/>
      <c r="G123" s="66"/>
      <c r="H123" s="66"/>
      <c r="I123" s="66"/>
      <c r="J123" s="69"/>
      <c r="O123" s="72"/>
    </row>
    <row r="124" spans="6:15" x14ac:dyDescent="0.25">
      <c r="F124" s="66"/>
      <c r="G124" s="66"/>
      <c r="H124" s="66"/>
      <c r="I124" s="66"/>
      <c r="J124" s="69"/>
      <c r="O124" s="72"/>
    </row>
    <row r="125" spans="6:15" x14ac:dyDescent="0.25">
      <c r="F125" s="66"/>
      <c r="G125" s="66"/>
      <c r="H125" s="66"/>
      <c r="I125" s="66"/>
      <c r="J125" s="69"/>
      <c r="O125" s="72"/>
    </row>
    <row r="126" spans="6:15" x14ac:dyDescent="0.25">
      <c r="F126" s="66"/>
      <c r="G126" s="66"/>
      <c r="H126" s="66"/>
      <c r="I126" s="66"/>
      <c r="J126" s="69"/>
      <c r="O126" s="72"/>
    </row>
    <row r="127" spans="6:15" x14ac:dyDescent="0.25">
      <c r="F127" s="66"/>
      <c r="G127" s="66"/>
      <c r="H127" s="66"/>
      <c r="I127" s="66"/>
      <c r="J127" s="69"/>
      <c r="O127" s="72"/>
    </row>
    <row r="128" spans="6:15" x14ac:dyDescent="0.25">
      <c r="F128" s="66"/>
      <c r="G128" s="66"/>
      <c r="H128" s="66"/>
      <c r="I128" s="66"/>
      <c r="J128" s="69"/>
      <c r="O128" s="72"/>
    </row>
    <row r="129" spans="6:15" x14ac:dyDescent="0.25">
      <c r="F129" s="66"/>
      <c r="G129" s="66"/>
      <c r="H129" s="66"/>
      <c r="I129" s="66"/>
      <c r="J129" s="69"/>
      <c r="O129" s="72"/>
    </row>
    <row r="130" spans="6:15" x14ac:dyDescent="0.25">
      <c r="F130" s="66"/>
      <c r="G130" s="66"/>
      <c r="H130" s="66"/>
      <c r="I130" s="66"/>
      <c r="J130" s="69"/>
      <c r="O130" s="72"/>
    </row>
    <row r="131" spans="6:15" x14ac:dyDescent="0.25">
      <c r="F131" s="66"/>
      <c r="G131" s="66"/>
      <c r="H131" s="66"/>
      <c r="I131" s="66"/>
      <c r="J131" s="69"/>
      <c r="O131" s="72"/>
    </row>
    <row r="132" spans="6:15" x14ac:dyDescent="0.25">
      <c r="F132" s="66"/>
      <c r="G132" s="66"/>
      <c r="H132" s="66"/>
      <c r="I132" s="66"/>
      <c r="J132" s="69"/>
      <c r="O132" s="72"/>
    </row>
    <row r="133" spans="6:15" x14ac:dyDescent="0.25">
      <c r="F133" s="66"/>
      <c r="G133" s="66"/>
      <c r="H133" s="66"/>
      <c r="I133" s="66"/>
      <c r="J133" s="69"/>
      <c r="O133" s="72"/>
    </row>
    <row r="134" spans="6:15" x14ac:dyDescent="0.25">
      <c r="F134" s="66"/>
      <c r="G134" s="66"/>
      <c r="H134" s="66"/>
      <c r="I134" s="66"/>
      <c r="J134" s="69"/>
      <c r="O134" s="72"/>
    </row>
    <row r="135" spans="6:15" x14ac:dyDescent="0.25">
      <c r="F135" s="66"/>
      <c r="G135" s="66"/>
      <c r="H135" s="66"/>
      <c r="I135" s="66"/>
      <c r="J135" s="69"/>
      <c r="O135" s="72"/>
    </row>
    <row r="136" spans="6:15" x14ac:dyDescent="0.25">
      <c r="F136" s="66"/>
      <c r="G136" s="66"/>
      <c r="H136" s="66"/>
      <c r="I136" s="66"/>
      <c r="J136" s="69"/>
      <c r="O136" s="72"/>
    </row>
    <row r="137" spans="6:15" x14ac:dyDescent="0.25">
      <c r="F137" s="66"/>
      <c r="G137" s="66"/>
      <c r="H137" s="66"/>
      <c r="I137" s="66"/>
      <c r="J137" s="69"/>
      <c r="O137" s="72"/>
    </row>
    <row r="138" spans="6:15" x14ac:dyDescent="0.25">
      <c r="F138" s="66"/>
      <c r="G138" s="66"/>
      <c r="H138" s="66"/>
      <c r="I138" s="66"/>
      <c r="J138" s="69"/>
      <c r="O138" s="72"/>
    </row>
    <row r="139" spans="6:15" x14ac:dyDescent="0.25">
      <c r="F139" s="66"/>
      <c r="G139" s="66"/>
      <c r="H139" s="66"/>
      <c r="I139" s="66"/>
      <c r="J139" s="69"/>
      <c r="O139" s="72"/>
    </row>
    <row r="140" spans="6:15" x14ac:dyDescent="0.25">
      <c r="F140" s="66"/>
      <c r="G140" s="66"/>
      <c r="H140" s="66"/>
      <c r="I140" s="66"/>
      <c r="J140" s="69"/>
      <c r="O140" s="72"/>
    </row>
    <row r="141" spans="6:15" x14ac:dyDescent="0.25">
      <c r="F141" s="66"/>
      <c r="G141" s="66"/>
      <c r="H141" s="66"/>
      <c r="I141" s="66"/>
      <c r="J141" s="69"/>
      <c r="O141" s="72"/>
    </row>
    <row r="142" spans="6:15" x14ac:dyDescent="0.25">
      <c r="F142" s="66"/>
      <c r="G142" s="66"/>
      <c r="H142" s="66"/>
      <c r="I142" s="66"/>
      <c r="J142" s="69"/>
      <c r="O142" s="72"/>
    </row>
    <row r="143" spans="6:15" x14ac:dyDescent="0.25">
      <c r="F143" s="66"/>
      <c r="G143" s="66"/>
      <c r="H143" s="66"/>
      <c r="I143" s="66"/>
      <c r="J143" s="69"/>
      <c r="O143" s="72"/>
    </row>
    <row r="144" spans="6:15" x14ac:dyDescent="0.25">
      <c r="F144" s="66"/>
      <c r="G144" s="66"/>
      <c r="H144" s="66"/>
      <c r="I144" s="66"/>
      <c r="J144" s="69"/>
      <c r="O144" s="72"/>
    </row>
    <row r="145" spans="6:15" x14ac:dyDescent="0.25">
      <c r="F145" s="66"/>
      <c r="G145" s="66"/>
      <c r="H145" s="66"/>
      <c r="I145" s="66"/>
      <c r="O145" s="72"/>
    </row>
    <row r="146" spans="6:15" x14ac:dyDescent="0.25">
      <c r="F146" s="66"/>
      <c r="G146" s="66"/>
      <c r="H146" s="66"/>
      <c r="I146" s="66"/>
      <c r="O146" s="72"/>
    </row>
    <row r="147" spans="6:15" x14ac:dyDescent="0.25">
      <c r="F147" s="66"/>
      <c r="G147" s="66"/>
      <c r="H147" s="66"/>
      <c r="I147" s="66"/>
      <c r="O147" s="72"/>
    </row>
    <row r="148" spans="6:15" x14ac:dyDescent="0.25">
      <c r="F148" s="66"/>
      <c r="G148" s="66"/>
      <c r="H148" s="66"/>
      <c r="I148" s="66"/>
      <c r="O148" s="72"/>
    </row>
    <row r="149" spans="6:15" x14ac:dyDescent="0.25">
      <c r="F149" s="66"/>
      <c r="G149" s="66"/>
      <c r="H149" s="66"/>
      <c r="I149" s="66"/>
      <c r="O149" s="72"/>
    </row>
    <row r="150" spans="6:15" x14ac:dyDescent="0.25">
      <c r="F150" s="66"/>
      <c r="G150" s="66"/>
      <c r="H150" s="66"/>
      <c r="I150" s="66"/>
      <c r="O150" s="72"/>
    </row>
    <row r="151" spans="6:15" x14ac:dyDescent="0.25">
      <c r="F151" s="66"/>
      <c r="G151" s="66"/>
      <c r="H151" s="66"/>
      <c r="I151" s="66"/>
      <c r="O151" s="72"/>
    </row>
    <row r="152" spans="6:15" x14ac:dyDescent="0.25">
      <c r="F152" s="66"/>
      <c r="G152" s="66"/>
      <c r="H152" s="66"/>
      <c r="I152" s="66"/>
      <c r="O152" s="72"/>
    </row>
    <row r="153" spans="6:15" x14ac:dyDescent="0.25">
      <c r="F153" s="66"/>
      <c r="G153" s="66"/>
      <c r="H153" s="66"/>
      <c r="I153" s="66"/>
      <c r="O153" s="72"/>
    </row>
    <row r="154" spans="6:15" x14ac:dyDescent="0.25">
      <c r="F154" s="66"/>
      <c r="G154" s="66"/>
      <c r="H154" s="66"/>
      <c r="I154" s="66"/>
      <c r="O154" s="72"/>
    </row>
    <row r="155" spans="6:15" x14ac:dyDescent="0.25">
      <c r="F155" s="66"/>
      <c r="G155" s="66"/>
      <c r="H155" s="66"/>
      <c r="I155" s="66"/>
      <c r="O155" s="72"/>
    </row>
    <row r="156" spans="6:15" x14ac:dyDescent="0.25">
      <c r="F156" s="66"/>
      <c r="G156" s="66"/>
      <c r="H156" s="66"/>
      <c r="I156" s="66"/>
      <c r="O156" s="72"/>
    </row>
    <row r="157" spans="6:15" x14ac:dyDescent="0.25">
      <c r="F157" s="66"/>
      <c r="G157" s="66"/>
      <c r="H157" s="66"/>
      <c r="I157" s="66"/>
      <c r="O157" s="72"/>
    </row>
    <row r="158" spans="6:15" x14ac:dyDescent="0.25">
      <c r="F158" s="66"/>
      <c r="G158" s="66"/>
      <c r="H158" s="66"/>
      <c r="I158" s="66"/>
      <c r="O158" s="72"/>
    </row>
    <row r="159" spans="6:15" x14ac:dyDescent="0.25">
      <c r="F159" s="66"/>
      <c r="G159" s="66"/>
      <c r="H159" s="66"/>
      <c r="I159" s="66"/>
      <c r="O159" s="72"/>
    </row>
    <row r="160" spans="6:15" x14ac:dyDescent="0.25">
      <c r="F160" s="66"/>
      <c r="G160" s="66"/>
      <c r="H160" s="66"/>
      <c r="I160" s="66"/>
      <c r="O160" s="72"/>
    </row>
    <row r="161" spans="6:15" x14ac:dyDescent="0.25">
      <c r="F161" s="66"/>
      <c r="G161" s="66"/>
      <c r="H161" s="66"/>
      <c r="I161" s="66"/>
      <c r="O161" s="72"/>
    </row>
    <row r="162" spans="6:15" x14ac:dyDescent="0.25">
      <c r="F162" s="66"/>
      <c r="G162" s="66"/>
      <c r="H162" s="66"/>
      <c r="I162" s="66"/>
      <c r="O162" s="72"/>
    </row>
    <row r="163" spans="6:15" x14ac:dyDescent="0.25">
      <c r="F163" s="66"/>
      <c r="G163" s="66"/>
      <c r="H163" s="66"/>
      <c r="I163" s="66"/>
      <c r="O163" s="72"/>
    </row>
    <row r="164" spans="6:15" x14ac:dyDescent="0.25">
      <c r="F164" s="66"/>
      <c r="G164" s="66"/>
      <c r="H164" s="66"/>
      <c r="I164" s="66"/>
      <c r="O164" s="72"/>
    </row>
    <row r="165" spans="6:15" x14ac:dyDescent="0.25">
      <c r="F165" s="66"/>
      <c r="G165" s="66"/>
      <c r="H165" s="66"/>
      <c r="I165" s="66"/>
      <c r="O165" s="72"/>
    </row>
    <row r="166" spans="6:15" x14ac:dyDescent="0.25">
      <c r="F166" s="66"/>
      <c r="G166" s="66"/>
      <c r="H166" s="66"/>
      <c r="I166" s="66"/>
      <c r="O166" s="72"/>
    </row>
    <row r="167" spans="6:15" x14ac:dyDescent="0.25">
      <c r="F167" s="66"/>
      <c r="G167" s="66"/>
      <c r="H167" s="66"/>
      <c r="I167" s="66"/>
      <c r="O167" s="72"/>
    </row>
    <row r="168" spans="6:15" x14ac:dyDescent="0.25">
      <c r="F168" s="66"/>
      <c r="G168" s="66"/>
      <c r="H168" s="66"/>
      <c r="I168" s="66"/>
      <c r="O168" s="72"/>
    </row>
    <row r="169" spans="6:15" x14ac:dyDescent="0.25">
      <c r="F169" s="66"/>
      <c r="G169" s="66"/>
      <c r="H169" s="66"/>
      <c r="I169" s="66"/>
      <c r="O169" s="72"/>
    </row>
    <row r="170" spans="6:15" x14ac:dyDescent="0.25">
      <c r="F170" s="66"/>
      <c r="G170" s="66"/>
      <c r="H170" s="66"/>
      <c r="I170" s="66"/>
      <c r="O170" s="72"/>
    </row>
    <row r="171" spans="6:15" x14ac:dyDescent="0.25">
      <c r="F171" s="66"/>
      <c r="G171" s="66"/>
      <c r="H171" s="66"/>
      <c r="I171" s="66"/>
      <c r="O171" s="72"/>
    </row>
    <row r="172" spans="6:15" x14ac:dyDescent="0.25">
      <c r="F172" s="66"/>
      <c r="G172" s="66"/>
      <c r="H172" s="66"/>
      <c r="I172" s="66"/>
      <c r="O172" s="72"/>
    </row>
    <row r="173" spans="6:15" x14ac:dyDescent="0.25">
      <c r="F173" s="66"/>
      <c r="G173" s="66"/>
      <c r="H173" s="66"/>
      <c r="I173" s="66"/>
      <c r="O173" s="72"/>
    </row>
    <row r="174" spans="6:15" x14ac:dyDescent="0.25">
      <c r="F174" s="66"/>
      <c r="G174" s="66"/>
      <c r="H174" s="66"/>
      <c r="I174" s="66"/>
      <c r="O174" s="72"/>
    </row>
    <row r="175" spans="6:15" x14ac:dyDescent="0.25">
      <c r="F175" s="66"/>
      <c r="G175" s="66"/>
      <c r="H175" s="66"/>
      <c r="I175" s="66"/>
      <c r="O175" s="72"/>
    </row>
    <row r="176" spans="6:15" x14ac:dyDescent="0.25">
      <c r="F176" s="66"/>
      <c r="G176" s="66"/>
      <c r="H176" s="66"/>
      <c r="I176" s="66"/>
      <c r="O176" s="72"/>
    </row>
    <row r="177" spans="6:15" x14ac:dyDescent="0.25">
      <c r="F177" s="66"/>
      <c r="G177" s="66"/>
      <c r="H177" s="66"/>
      <c r="I177" s="66"/>
      <c r="O177" s="72"/>
    </row>
    <row r="178" spans="6:15" x14ac:dyDescent="0.25">
      <c r="F178" s="66"/>
      <c r="G178" s="66"/>
      <c r="H178" s="66"/>
      <c r="I178" s="66"/>
      <c r="O178" s="72"/>
    </row>
    <row r="179" spans="6:15" x14ac:dyDescent="0.25">
      <c r="F179" s="66"/>
      <c r="G179" s="66"/>
      <c r="H179" s="66"/>
      <c r="I179" s="66"/>
      <c r="O179" s="72"/>
    </row>
    <row r="180" spans="6:15" x14ac:dyDescent="0.25">
      <c r="F180" s="66"/>
      <c r="G180" s="66"/>
      <c r="H180" s="66"/>
      <c r="I180" s="66"/>
      <c r="O180" s="72"/>
    </row>
    <row r="181" spans="6:15" x14ac:dyDescent="0.25">
      <c r="F181" s="66"/>
      <c r="G181" s="66"/>
      <c r="H181" s="66"/>
      <c r="I181" s="66"/>
      <c r="O181" s="72"/>
    </row>
    <row r="182" spans="6:15" x14ac:dyDescent="0.25">
      <c r="F182" s="66"/>
      <c r="G182" s="66"/>
      <c r="H182" s="66"/>
      <c r="I182" s="66"/>
      <c r="O182" s="72"/>
    </row>
    <row r="183" spans="6:15" x14ac:dyDescent="0.25">
      <c r="F183" s="66"/>
      <c r="G183" s="66"/>
      <c r="H183" s="66"/>
      <c r="I183" s="66"/>
      <c r="O183" s="72"/>
    </row>
    <row r="184" spans="6:15" x14ac:dyDescent="0.25">
      <c r="F184" s="66"/>
      <c r="G184" s="66"/>
      <c r="H184" s="66"/>
      <c r="I184" s="66"/>
      <c r="O184" s="72"/>
    </row>
    <row r="185" spans="6:15" x14ac:dyDescent="0.25">
      <c r="F185" s="66"/>
      <c r="G185" s="66"/>
      <c r="H185" s="66"/>
      <c r="I185" s="66"/>
      <c r="O185" s="72"/>
    </row>
    <row r="186" spans="6:15" x14ac:dyDescent="0.25">
      <c r="F186" s="66"/>
      <c r="G186" s="66"/>
      <c r="H186" s="66"/>
      <c r="I186" s="66"/>
      <c r="O186" s="72"/>
    </row>
    <row r="187" spans="6:15" x14ac:dyDescent="0.25">
      <c r="F187" s="66"/>
      <c r="G187" s="66"/>
      <c r="H187" s="66"/>
      <c r="I187" s="66"/>
      <c r="O187" s="72"/>
    </row>
    <row r="188" spans="6:15" x14ac:dyDescent="0.25">
      <c r="F188" s="66"/>
      <c r="G188" s="66"/>
      <c r="H188" s="66"/>
      <c r="I188" s="66"/>
      <c r="O188" s="72"/>
    </row>
    <row r="189" spans="6:15" x14ac:dyDescent="0.25">
      <c r="F189" s="66"/>
      <c r="G189" s="66"/>
      <c r="H189" s="66"/>
      <c r="I189" s="66"/>
      <c r="O189" s="72"/>
    </row>
    <row r="190" spans="6:15" x14ac:dyDescent="0.25">
      <c r="F190" s="66"/>
      <c r="G190" s="66"/>
      <c r="H190" s="66"/>
      <c r="I190" s="66"/>
      <c r="O190" s="72"/>
    </row>
    <row r="191" spans="6:15" x14ac:dyDescent="0.25">
      <c r="F191" s="66"/>
      <c r="G191" s="66"/>
      <c r="H191" s="66"/>
      <c r="I191" s="66"/>
      <c r="O191" s="72"/>
    </row>
    <row r="192" spans="6:15" x14ac:dyDescent="0.25">
      <c r="F192" s="66"/>
      <c r="G192" s="66"/>
      <c r="H192" s="66"/>
      <c r="I192" s="66"/>
      <c r="O192" s="72"/>
    </row>
    <row r="193" spans="6:15" x14ac:dyDescent="0.25">
      <c r="F193" s="66"/>
      <c r="G193" s="66"/>
      <c r="H193" s="66"/>
      <c r="I193" s="66"/>
      <c r="O193" s="72"/>
    </row>
    <row r="194" spans="6:15" x14ac:dyDescent="0.25">
      <c r="F194" s="66"/>
      <c r="G194" s="66"/>
      <c r="H194" s="66"/>
      <c r="I194" s="66"/>
      <c r="O194" s="72"/>
    </row>
    <row r="195" spans="6:15" x14ac:dyDescent="0.25">
      <c r="F195" s="66"/>
      <c r="G195" s="66"/>
      <c r="H195" s="66"/>
      <c r="I195" s="66"/>
      <c r="O195" s="72"/>
    </row>
    <row r="196" spans="6:15" x14ac:dyDescent="0.25">
      <c r="F196" s="66"/>
      <c r="G196" s="66"/>
      <c r="H196" s="66"/>
      <c r="I196" s="66"/>
      <c r="O196" s="72"/>
    </row>
    <row r="197" spans="6:15" x14ac:dyDescent="0.25">
      <c r="F197" s="66"/>
      <c r="G197" s="66"/>
      <c r="H197" s="66"/>
      <c r="I197" s="66"/>
      <c r="O197" s="72"/>
    </row>
    <row r="198" spans="6:15" x14ac:dyDescent="0.25">
      <c r="F198" s="66"/>
      <c r="G198" s="66"/>
      <c r="H198" s="66"/>
      <c r="I198" s="66"/>
      <c r="O198" s="72"/>
    </row>
    <row r="199" spans="6:15" x14ac:dyDescent="0.25">
      <c r="F199" s="66"/>
      <c r="G199" s="66"/>
      <c r="H199" s="66"/>
      <c r="I199" s="66"/>
      <c r="O199" s="72"/>
    </row>
    <row r="200" spans="6:15" x14ac:dyDescent="0.25">
      <c r="F200" s="66"/>
      <c r="G200" s="66"/>
      <c r="H200" s="66"/>
      <c r="I200" s="66"/>
      <c r="O200" s="72"/>
    </row>
    <row r="201" spans="6:15" x14ac:dyDescent="0.25">
      <c r="F201" s="66"/>
      <c r="G201" s="66"/>
      <c r="H201" s="66"/>
      <c r="I201" s="66"/>
      <c r="O201" s="72"/>
    </row>
    <row r="202" spans="6:15" x14ac:dyDescent="0.25">
      <c r="F202" s="66"/>
      <c r="G202" s="66"/>
      <c r="H202" s="66"/>
      <c r="I202" s="66"/>
      <c r="O202" s="72"/>
    </row>
    <row r="203" spans="6:15" x14ac:dyDescent="0.25">
      <c r="F203" s="66"/>
      <c r="G203" s="66"/>
      <c r="H203" s="66"/>
      <c r="I203" s="66"/>
      <c r="O203" s="72"/>
    </row>
    <row r="204" spans="6:15" x14ac:dyDescent="0.25">
      <c r="F204" s="66"/>
      <c r="G204" s="66"/>
      <c r="H204" s="66"/>
      <c r="I204" s="66"/>
      <c r="O204" s="72"/>
    </row>
    <row r="205" spans="6:15" x14ac:dyDescent="0.25">
      <c r="F205" s="66"/>
      <c r="G205" s="66"/>
      <c r="H205" s="66"/>
      <c r="I205" s="66"/>
      <c r="O205" s="72"/>
    </row>
    <row r="206" spans="6:15" x14ac:dyDescent="0.25">
      <c r="F206" s="66"/>
      <c r="G206" s="66"/>
      <c r="H206" s="66"/>
      <c r="I206" s="66"/>
      <c r="O206" s="72"/>
    </row>
    <row r="207" spans="6:15" x14ac:dyDescent="0.25">
      <c r="F207" s="66"/>
      <c r="G207" s="66"/>
      <c r="H207" s="66"/>
      <c r="I207" s="66"/>
      <c r="O207" s="72"/>
    </row>
    <row r="208" spans="6:15" x14ac:dyDescent="0.25">
      <c r="F208" s="66"/>
      <c r="G208" s="66"/>
      <c r="H208" s="66"/>
      <c r="I208" s="66"/>
      <c r="O208" s="72"/>
    </row>
    <row r="209" spans="6:15" x14ac:dyDescent="0.25">
      <c r="F209" s="66"/>
      <c r="G209" s="66"/>
      <c r="H209" s="66"/>
      <c r="I209" s="66"/>
      <c r="O209" s="72"/>
    </row>
    <row r="210" spans="6:15" x14ac:dyDescent="0.25">
      <c r="F210" s="66"/>
      <c r="G210" s="66"/>
      <c r="H210" s="66"/>
      <c r="I210" s="66"/>
      <c r="O210" s="72"/>
    </row>
    <row r="211" spans="6:15" x14ac:dyDescent="0.25">
      <c r="F211" s="66"/>
      <c r="G211" s="66"/>
      <c r="H211" s="66"/>
      <c r="I211" s="66"/>
      <c r="O211" s="72"/>
    </row>
    <row r="212" spans="6:15" x14ac:dyDescent="0.25">
      <c r="F212" s="66"/>
      <c r="G212" s="66"/>
      <c r="H212" s="66"/>
      <c r="I212" s="66"/>
      <c r="O212" s="72"/>
    </row>
    <row r="213" spans="6:15" x14ac:dyDescent="0.25">
      <c r="F213" s="66"/>
      <c r="G213" s="66"/>
      <c r="H213" s="66"/>
      <c r="I213" s="66"/>
      <c r="O213" s="72"/>
    </row>
    <row r="214" spans="6:15" x14ac:dyDescent="0.25">
      <c r="F214" s="66"/>
      <c r="G214" s="66"/>
      <c r="H214" s="66"/>
      <c r="I214" s="66"/>
      <c r="O214" s="72"/>
    </row>
  </sheetData>
  <sheetProtection password="D4A7" sheet="1" objects="1" scenarios="1"/>
  <protectedRanges>
    <protectedRange sqref="C87:C90 A82:C86 A87:B94 B45 B47 A44:A49 C44:C49 A105:B106 C93:C94 A51:C51 A95:C100 C105" name="Rango1_2"/>
    <protectedRange sqref="A56:C56" name="Rango1_1"/>
    <protectedRange sqref="B46 C69:C70 B48:B49 C73" name="Rango1_1_1"/>
    <protectedRange sqref="I42" name="Rango1_1_1_2"/>
    <protectedRange sqref="A57 C57" name="Rango1_1_1_4"/>
    <protectedRange sqref="C50" name="Rango1_2_2"/>
    <protectedRange sqref="C50" name="Rango1_2_2_1"/>
    <protectedRange sqref="A50:C50" name="Rango1_2_2_1_1"/>
    <protectedRange sqref="B73 A72:C72" name="Rango1_2_4"/>
    <protectedRange sqref="C74 B74:B75" name="Rango1_2_3_1"/>
  </protectedRanges>
  <dataConsolidate/>
  <mergeCells count="5">
    <mergeCell ref="I9:K9"/>
    <mergeCell ref="C10:D10"/>
    <mergeCell ref="B72:E72"/>
    <mergeCell ref="B63:B64"/>
    <mergeCell ref="F2:G3"/>
  </mergeCells>
  <dataValidations disablePrompts="1" count="2">
    <dataValidation type="list" allowBlank="1" showInputMessage="1" showErrorMessage="1" sqref="B71 B81 B32:B34 B13 B46 B48:B49 I42 B27" xr:uid="{00000000-0002-0000-0600-000000000000}">
      <formula1>#REF!</formula1>
    </dataValidation>
    <dataValidation type="list" allowBlank="1" showInputMessage="1" showErrorMessage="1" sqref="A15 A22 A28" xr:uid="{00000000-0002-0000-0600-000001000000}">
      <formula1>"Polietileno,PVC hidráulico,PVC acople rápido,Metal"</formula1>
    </dataValidation>
  </dataValidations>
  <pageMargins left="0.9055118110236221" right="0.43307086614173229" top="0.98425196850393704" bottom="0.94488188976377963" header="0.51181102362204722" footer="0.51181102362204722"/>
  <pageSetup scale="68" fitToHeight="6" orientation="portrait" r:id="rId1"/>
  <headerFooter alignWithMargins="0"/>
  <rowBreaks count="1" manualBreakCount="1">
    <brk id="52" min="1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ETP</vt:lpstr>
      <vt:lpstr>Diseño goteo-cinta</vt:lpstr>
      <vt:lpstr>SECTOR goteo-cinta </vt:lpstr>
      <vt:lpstr>Diseño Aspersión</vt:lpstr>
      <vt:lpstr>fotovoltaico</vt:lpstr>
      <vt:lpstr>PRESU goteo-cinta</vt:lpstr>
      <vt:lpstr>PRESU aspersión</vt:lpstr>
      <vt:lpstr>'PRESU aspersión'!Área_de_impresión</vt:lpstr>
      <vt:lpstr>'PRESU goteo-cinta'!Área_de_impresión</vt:lpstr>
      <vt:lpstr>basebuscarv</vt:lpstr>
      <vt:lpstr>'PRESU aspersión'!Títulos_a_imprimir</vt:lpstr>
      <vt:lpstr>'PRESU goteo-cinta'!Títulos_a_imprimir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SM. Moran</dc:creator>
  <cp:lastModifiedBy>Miguel MG. Guajardo</cp:lastModifiedBy>
  <dcterms:created xsi:type="dcterms:W3CDTF">2018-09-26T18:09:54Z</dcterms:created>
  <dcterms:modified xsi:type="dcterms:W3CDTF">2019-02-12T11:30:51Z</dcterms:modified>
</cp:coreProperties>
</file>