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G:\Mi unidad\Pequeña agricultura\precios fotovoltaicos\"/>
    </mc:Choice>
  </mc:AlternateContent>
  <xr:revisionPtr revIDLastSave="0" documentId="13_ncr:1_{8F462F8E-2963-4867-A895-A506FC57C32A}" xr6:coauthVersionLast="47" xr6:coauthVersionMax="47" xr10:uidLastSave="{00000000-0000-0000-0000-000000000000}"/>
  <bookViews>
    <workbookView xWindow="20370" yWindow="-4710" windowWidth="29040" windowHeight="15720" xr2:uid="{00000000-000D-0000-FFFF-FFFF00000000}"/>
  </bookViews>
  <sheets>
    <sheet name="RESUMEN SIST. FV Off Grid" sheetId="76" r:id="rId1"/>
    <sheet name="INV. OFF" sheetId="70" r:id="rId2"/>
    <sheet name="VDF SOLAR" sheetId="63" r:id="rId3"/>
    <sheet name="VDF SOLAR 3F" sheetId="65" r:id="rId4"/>
    <sheet name="Bomba Solar" sheetId="64" r:id="rId5"/>
    <sheet name="Bomba Solar Pozo Profundo" sheetId="77" r:id="rId6"/>
    <sheet name="Cableado Bomba Solar Pozo P" sheetId="78" r:id="rId7"/>
    <sheet name="R.Carga" sheetId="79" r:id="rId8"/>
    <sheet name="BATERÍA AGM Y GEL" sheetId="80" r:id="rId9"/>
    <sheet name="BATERÍA LITIO" sheetId="82" r:id="rId10"/>
    <sheet name="BATERIA LITIO ENSAMBLADA" sheetId="81" r:id="rId11"/>
    <sheet name="T. CC" sheetId="55" r:id="rId12"/>
    <sheet name="Factor Socioeconómico" sheetId="83" r:id="rId13"/>
  </sheets>
  <definedNames>
    <definedName name="_xlnm.Print_Area" localSheetId="8">'BATERÍA AGM Y GEL'!$A$1:$I$49</definedName>
    <definedName name="_xlnm.Print_Area" localSheetId="9">'BATERÍA LITIO'!$A$1:$I$49</definedName>
    <definedName name="_xlnm.Print_Area" localSheetId="10">'BATERIA LITIO ENSAMBLADA'!$A$1:$I$48</definedName>
    <definedName name="_xlnm.Print_Area" localSheetId="4">'Bomba Solar'!$A$1:$I$48</definedName>
    <definedName name="_xlnm.Print_Area" localSheetId="5">'Bomba Solar Pozo Profundo'!$A$1:$I$48</definedName>
    <definedName name="_xlnm.Print_Area" localSheetId="6">'Cableado Bomba Solar Pozo P'!$A$1:$I$47</definedName>
    <definedName name="_xlnm.Print_Area" localSheetId="1">'INV. OFF'!$A$1:$I$48</definedName>
    <definedName name="_xlnm.Print_Area" localSheetId="7">'R.Carga'!$A$1:$I$48</definedName>
    <definedName name="_xlnm.Print_Area" localSheetId="0">'RESUMEN SIST. FV Off Grid'!$A$1:$I$27</definedName>
    <definedName name="_xlnm.Print_Area" localSheetId="11">'T. CC'!$A$1:$I$49</definedName>
    <definedName name="_xlnm.Print_Area" localSheetId="2">'VDF SOLAR'!$A$1:$I$48</definedName>
    <definedName name="_xlnm.Print_Area" localSheetId="3">'VDF SOLAR 3F'!$A$1:$I$48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55" l="1"/>
  <c r="F9" i="55"/>
  <c r="H9" i="81"/>
  <c r="F9" i="81"/>
  <c r="H9" i="82"/>
  <c r="F9" i="82"/>
  <c r="H9" i="80"/>
  <c r="F9" i="80"/>
  <c r="H9" i="79"/>
  <c r="F9" i="79"/>
  <c r="H9" i="78"/>
  <c r="F9" i="78"/>
  <c r="H9" i="77"/>
  <c r="F9" i="77"/>
  <c r="H9" i="64"/>
  <c r="F9" i="64"/>
  <c r="H9" i="65"/>
  <c r="F9" i="65"/>
  <c r="H9" i="63"/>
  <c r="F9" i="63"/>
  <c r="H9" i="70"/>
  <c r="F9" i="70"/>
  <c r="F10" i="55"/>
  <c r="F10" i="81"/>
  <c r="F10" i="82"/>
  <c r="F10" i="80"/>
  <c r="F10" i="79"/>
  <c r="F10" i="78"/>
  <c r="F10" i="77"/>
  <c r="F10" i="64"/>
  <c r="F10" i="65"/>
  <c r="F10" i="63"/>
  <c r="F10" i="70"/>
  <c r="H9" i="76"/>
  <c r="H10" i="80" s="1"/>
  <c r="H10" i="77" l="1"/>
  <c r="H10" i="70"/>
  <c r="H10" i="82"/>
  <c r="H10" i="63"/>
  <c r="H10" i="78"/>
  <c r="H10" i="81"/>
  <c r="H10" i="65"/>
  <c r="H10" i="79"/>
  <c r="H10" i="55"/>
  <c r="H48" i="55" s="1"/>
  <c r="H10" i="64"/>
  <c r="D22" i="76"/>
  <c r="D21" i="76"/>
  <c r="D20" i="76"/>
  <c r="D19" i="76"/>
  <c r="D18" i="76"/>
  <c r="D17" i="76"/>
  <c r="D16" i="76"/>
  <c r="D15" i="76"/>
  <c r="D14" i="76"/>
  <c r="D13" i="76"/>
  <c r="D12" i="76"/>
  <c r="G15" i="81"/>
  <c r="G15" i="82"/>
  <c r="G15" i="80"/>
  <c r="G15" i="79"/>
  <c r="G14" i="63"/>
  <c r="F22" i="76" l="1"/>
  <c r="E18" i="83"/>
  <c r="E17" i="83"/>
  <c r="E16" i="83"/>
  <c r="E15" i="83"/>
  <c r="E14" i="83"/>
  <c r="E13" i="83"/>
  <c r="E12" i="83"/>
  <c r="E11" i="83"/>
  <c r="E10" i="83"/>
  <c r="E9" i="83"/>
  <c r="E8" i="83"/>
  <c r="E7" i="83"/>
  <c r="E6" i="83"/>
  <c r="E5" i="83"/>
  <c r="E4" i="83"/>
  <c r="E3" i="83"/>
  <c r="H15" i="81"/>
  <c r="H16" i="81" s="1"/>
  <c r="F21" i="81" s="1"/>
  <c r="H14" i="55"/>
  <c r="H15" i="55"/>
  <c r="H16" i="55"/>
  <c r="H30" i="55"/>
  <c r="H29" i="55"/>
  <c r="H28" i="55"/>
  <c r="H15" i="82"/>
  <c r="H17" i="82" s="1"/>
  <c r="F22" i="82" s="1"/>
  <c r="H30" i="82"/>
  <c r="H29" i="82"/>
  <c r="H28" i="82"/>
  <c r="H16" i="82"/>
  <c r="H15" i="80"/>
  <c r="H17" i="80" s="1"/>
  <c r="H15" i="79"/>
  <c r="G14" i="78"/>
  <c r="H14" i="78" s="1"/>
  <c r="G14" i="77"/>
  <c r="H14" i="77" s="1"/>
  <c r="G14" i="64"/>
  <c r="H14" i="64" s="1"/>
  <c r="G14" i="65"/>
  <c r="H14" i="65" s="1"/>
  <c r="G14" i="70"/>
  <c r="H14" i="70" s="1"/>
  <c r="H29" i="81"/>
  <c r="H28" i="81"/>
  <c r="H27" i="81"/>
  <c r="H16" i="80"/>
  <c r="H30" i="80"/>
  <c r="H29" i="80"/>
  <c r="H28" i="80"/>
  <c r="H31" i="80" s="1"/>
  <c r="H33" i="80" s="1"/>
  <c r="H29" i="79"/>
  <c r="H28" i="79"/>
  <c r="H27" i="79"/>
  <c r="H30" i="79" s="1"/>
  <c r="H32" i="79" s="1"/>
  <c r="H28" i="78"/>
  <c r="H27" i="78"/>
  <c r="H26" i="78"/>
  <c r="H29" i="78" s="1"/>
  <c r="H31" i="78" s="1"/>
  <c r="H29" i="77"/>
  <c r="H28" i="77"/>
  <c r="H27" i="77"/>
  <c r="H30" i="77" s="1"/>
  <c r="H32" i="77" s="1"/>
  <c r="H29" i="64"/>
  <c r="H28" i="64"/>
  <c r="H27" i="64"/>
  <c r="H30" i="64" s="1"/>
  <c r="H32" i="64" s="1"/>
  <c r="H29" i="65"/>
  <c r="H28" i="65"/>
  <c r="H27" i="65"/>
  <c r="H30" i="65" s="1"/>
  <c r="H32" i="65" s="1"/>
  <c r="H29" i="63"/>
  <c r="H28" i="63"/>
  <c r="H27" i="63"/>
  <c r="H30" i="63" s="1"/>
  <c r="H32" i="63" s="1"/>
  <c r="H14" i="63"/>
  <c r="H29" i="70"/>
  <c r="H28" i="70"/>
  <c r="H27" i="70"/>
  <c r="E22" i="76" l="1"/>
  <c r="H31" i="55"/>
  <c r="H33" i="55" s="1"/>
  <c r="H30" i="81"/>
  <c r="H32" i="81" s="1"/>
  <c r="H31" i="82"/>
  <c r="H33" i="82" s="1"/>
  <c r="H30" i="70"/>
  <c r="H32" i="70" s="1"/>
  <c r="H33" i="70" s="1"/>
  <c r="H17" i="55"/>
  <c r="H18" i="55" s="1"/>
  <c r="F22" i="55"/>
  <c r="H22" i="55" s="1"/>
  <c r="H23" i="55" s="1"/>
  <c r="H24" i="55" s="1"/>
  <c r="H35" i="55"/>
  <c r="H34" i="55"/>
  <c r="H37" i="55" s="1"/>
  <c r="H38" i="55" s="1"/>
  <c r="H22" i="82"/>
  <c r="H23" i="82" s="1"/>
  <c r="H24" i="82" s="1"/>
  <c r="H18" i="82"/>
  <c r="H35" i="82"/>
  <c r="H34" i="82"/>
  <c r="H37" i="82" s="1"/>
  <c r="H38" i="82" s="1"/>
  <c r="H21" i="81"/>
  <c r="H22" i="81" s="1"/>
  <c r="H23" i="81" s="1"/>
  <c r="H17" i="81"/>
  <c r="H34" i="81"/>
  <c r="H33" i="81"/>
  <c r="H36" i="81" s="1"/>
  <c r="H37" i="81" s="1"/>
  <c r="F22" i="80"/>
  <c r="H22" i="80" s="1"/>
  <c r="H23" i="80" s="1"/>
  <c r="H24" i="80" s="1"/>
  <c r="H18" i="80"/>
  <c r="H35" i="80"/>
  <c r="H34" i="80"/>
  <c r="H16" i="79"/>
  <c r="H34" i="79"/>
  <c r="H33" i="79"/>
  <c r="H36" i="79" s="1"/>
  <c r="H37" i="79" s="1"/>
  <c r="H15" i="78"/>
  <c r="H33" i="78"/>
  <c r="H32" i="78"/>
  <c r="H35" i="78" s="1"/>
  <c r="H36" i="78" s="1"/>
  <c r="G15" i="77"/>
  <c r="H15" i="77" s="1"/>
  <c r="H16" i="77" s="1"/>
  <c r="H34" i="77"/>
  <c r="H33" i="77"/>
  <c r="H36" i="77" s="1"/>
  <c r="H37" i="77" s="1"/>
  <c r="G15" i="64"/>
  <c r="H15" i="64" s="1"/>
  <c r="H16" i="64" s="1"/>
  <c r="H34" i="64"/>
  <c r="H33" i="64"/>
  <c r="G15" i="65"/>
  <c r="H15" i="65" s="1"/>
  <c r="H16" i="65" s="1"/>
  <c r="H34" i="65"/>
  <c r="H33" i="65"/>
  <c r="H36" i="65" s="1"/>
  <c r="H37" i="65" s="1"/>
  <c r="G15" i="63"/>
  <c r="H15" i="63" s="1"/>
  <c r="H16" i="63" s="1"/>
  <c r="H34" i="63"/>
  <c r="H33" i="63"/>
  <c r="H36" i="63" s="1"/>
  <c r="H37" i="63" s="1"/>
  <c r="G15" i="70"/>
  <c r="H15" i="70" s="1"/>
  <c r="H16" i="70" s="1"/>
  <c r="H34" i="70"/>
  <c r="H48" i="80" l="1"/>
  <c r="H47" i="81"/>
  <c r="H48" i="82"/>
  <c r="F21" i="76"/>
  <c r="E21" i="76" s="1"/>
  <c r="F19" i="76"/>
  <c r="E19" i="76" s="1"/>
  <c r="H37" i="80"/>
  <c r="H38" i="80" s="1"/>
  <c r="H36" i="64"/>
  <c r="H37" i="64" s="1"/>
  <c r="H36" i="70"/>
  <c r="H37" i="70" s="1"/>
  <c r="H40" i="55"/>
  <c r="H40" i="82"/>
  <c r="H39" i="81"/>
  <c r="H40" i="80"/>
  <c r="F21" i="79"/>
  <c r="H21" i="79" s="1"/>
  <c r="H22" i="79" s="1"/>
  <c r="H23" i="79" s="1"/>
  <c r="H17" i="79"/>
  <c r="F20" i="78"/>
  <c r="H20" i="78" s="1"/>
  <c r="H21" i="78" s="1"/>
  <c r="H22" i="78" s="1"/>
  <c r="H16" i="78"/>
  <c r="H46" i="78" s="1"/>
  <c r="F21" i="77"/>
  <c r="H21" i="77" s="1"/>
  <c r="H22" i="77" s="1"/>
  <c r="H23" i="77" s="1"/>
  <c r="H17" i="77"/>
  <c r="F21" i="64"/>
  <c r="H21" i="64" s="1"/>
  <c r="H22" i="64" s="1"/>
  <c r="H23" i="64" s="1"/>
  <c r="H17" i="64"/>
  <c r="H47" i="64" s="1"/>
  <c r="F21" i="65"/>
  <c r="H21" i="65" s="1"/>
  <c r="H22" i="65" s="1"/>
  <c r="H23" i="65" s="1"/>
  <c r="H17" i="65"/>
  <c r="F21" i="63"/>
  <c r="H21" i="63" s="1"/>
  <c r="H22" i="63" s="1"/>
  <c r="H23" i="63" s="1"/>
  <c r="H17" i="63"/>
  <c r="H47" i="63" s="1"/>
  <c r="F21" i="70"/>
  <c r="H21" i="70" s="1"/>
  <c r="H22" i="70" s="1"/>
  <c r="H23" i="70" s="1"/>
  <c r="H17" i="70"/>
  <c r="H47" i="70" l="1"/>
  <c r="H47" i="65"/>
  <c r="H47" i="77"/>
  <c r="H47" i="79"/>
  <c r="F20" i="76"/>
  <c r="E20" i="76" s="1"/>
  <c r="F17" i="76"/>
  <c r="E17" i="76" s="1"/>
  <c r="F15" i="76"/>
  <c r="E15" i="76" s="1"/>
  <c r="F13" i="76"/>
  <c r="F12" i="76"/>
  <c r="E12" i="76" s="1"/>
  <c r="H39" i="79"/>
  <c r="H41" i="79" s="1"/>
  <c r="H42" i="79" s="1"/>
  <c r="H38" i="78"/>
  <c r="H40" i="78" s="1"/>
  <c r="H41" i="78" s="1"/>
  <c r="H39" i="77"/>
  <c r="H41" i="77" s="1"/>
  <c r="H42" i="77" s="1"/>
  <c r="H39" i="64"/>
  <c r="H39" i="65"/>
  <c r="H39" i="70"/>
  <c r="H41" i="70" s="1"/>
  <c r="H42" i="70" s="1"/>
  <c r="H39" i="63"/>
  <c r="H41" i="63" s="1"/>
  <c r="H42" i="63" s="1"/>
  <c r="H42" i="55"/>
  <c r="H43" i="55" s="1"/>
  <c r="H42" i="82"/>
  <c r="H43" i="82" s="1"/>
  <c r="H41" i="81"/>
  <c r="H42" i="81" s="1"/>
  <c r="H42" i="80"/>
  <c r="H43" i="80" s="1"/>
  <c r="H41" i="64"/>
  <c r="H42" i="64" s="1"/>
  <c r="H41" i="65"/>
  <c r="H42" i="65" s="1"/>
  <c r="E13" i="76" l="1"/>
  <c r="F18" i="76"/>
  <c r="E18" i="76" s="1"/>
  <c r="F16" i="76"/>
  <c r="E16" i="76" s="1"/>
  <c r="F14" i="76"/>
  <c r="E14" i="76" s="1"/>
  <c r="H44" i="55"/>
  <c r="H47" i="55" s="1"/>
  <c r="H44" i="82"/>
  <c r="H47" i="82" s="1"/>
  <c r="H43" i="81"/>
  <c r="H46" i="81" s="1"/>
  <c r="H44" i="80"/>
  <c r="H47" i="80" s="1"/>
  <c r="H43" i="79"/>
  <c r="H46" i="79" s="1"/>
  <c r="H42" i="78"/>
  <c r="H45" i="78" s="1"/>
  <c r="H43" i="77"/>
  <c r="H46" i="77" s="1"/>
  <c r="H43" i="64"/>
  <c r="H46" i="64" s="1"/>
  <c r="H43" i="65"/>
  <c r="H46" i="65" s="1"/>
  <c r="H43" i="63"/>
  <c r="H46" i="63" s="1"/>
  <c r="H43" i="70"/>
  <c r="H46" i="70" s="1"/>
</calcChain>
</file>

<file path=xl/sharedStrings.xml><?xml version="1.0" encoding="utf-8"?>
<sst xmlns="http://schemas.openxmlformats.org/spreadsheetml/2006/main" count="739" uniqueCount="129">
  <si>
    <t>Proyecto: Análisis de Costos Unitarios de la componente de electrificación y de energías renovables dentro de proyectos de riego</t>
  </si>
  <si>
    <r>
      <rPr>
        <b/>
        <sz val="8"/>
        <color theme="1"/>
        <rFont val="Arial"/>
        <family val="2"/>
      </rPr>
      <t>Version:</t>
    </r>
    <r>
      <rPr>
        <sz val="8"/>
        <color theme="1"/>
        <rFont val="Arial"/>
        <family val="2"/>
      </rPr>
      <t xml:space="preserve"> 1.0</t>
    </r>
  </si>
  <si>
    <t>SISTEMAS FOTOVOLTAICOS OFF-GRID</t>
  </si>
  <si>
    <t>CLP/USD</t>
  </si>
  <si>
    <t>Valor U.F:</t>
  </si>
  <si>
    <t>Región</t>
  </si>
  <si>
    <t>Metropolitana</t>
  </si>
  <si>
    <t>F_s</t>
  </si>
  <si>
    <t>Descripción:</t>
  </si>
  <si>
    <t>Sistema FV off-grid: Corresponde a las partidas con sus respectivos materiales, equipos y mano de obra necesarios para construir un proyecto fotovoltaico desconectado de la red, aislado, o proyectos de bombeo solar.</t>
  </si>
  <si>
    <t>Descripción de partida</t>
  </si>
  <si>
    <t>Unidad</t>
  </si>
  <si>
    <t>P.U MIN (UF)</t>
  </si>
  <si>
    <t>P.U MAX (UF)</t>
  </si>
  <si>
    <t>INVERSOR OFF GRID MONOFASICO</t>
  </si>
  <si>
    <t>VDF SOLAR TRIFASICO</t>
  </si>
  <si>
    <t>BOMBA SOLAR SUPERFICIAL</t>
  </si>
  <si>
    <t>BOMBA SOLAR POZO PROFUNDO</t>
  </si>
  <si>
    <t>CABLEADO PARA BOMBA SOLAR POZO PROFUNDO</t>
  </si>
  <si>
    <t>SUMINISTRO E INSTALACIÓN DE REGULADOR DE CARGA PARA BATERIAS</t>
  </si>
  <si>
    <t>SUMINISTRO E INSTALACIÓN DE BATERÍA AGM Y GEL</t>
  </si>
  <si>
    <t>SUMINISTRO E INSTALACIÓN DE BATERÍA DE LITIO</t>
  </si>
  <si>
    <t>SUMINISTRO E INSTALACIÓN DE BATERIAS DE LITIO ENSAMBLADAS</t>
  </si>
  <si>
    <t>TABLERO CC PARA SISTEMA FOTOVOLTAICO OFF GRID DE HASTA 10 KW</t>
  </si>
  <si>
    <t>Unidad:</t>
  </si>
  <si>
    <t>UNIDAD</t>
  </si>
  <si>
    <t>Rendimiento:</t>
  </si>
  <si>
    <t>MATERIALES</t>
  </si>
  <si>
    <t>Codigo</t>
  </si>
  <si>
    <t>Descripción</t>
  </si>
  <si>
    <t>Cantidad</t>
  </si>
  <si>
    <t>% Desperdicio</t>
  </si>
  <si>
    <t>P.U.</t>
  </si>
  <si>
    <t>Total</t>
  </si>
  <si>
    <t>Inversor Off Grid Monofasico (5 KW)</t>
  </si>
  <si>
    <t>Accesorios para instalación</t>
  </si>
  <si>
    <t>S.G</t>
  </si>
  <si>
    <t>Total Materiales:</t>
  </si>
  <si>
    <t>Unitario Materiales:</t>
  </si>
  <si>
    <t>EQUIPOS</t>
  </si>
  <si>
    <t>Alq. Ó Dep.</t>
  </si>
  <si>
    <t>Valor unitario</t>
  </si>
  <si>
    <t>Herramientas menores</t>
  </si>
  <si>
    <t>Total Equipos:</t>
  </si>
  <si>
    <t>Unitario Equipos:</t>
  </si>
  <si>
    <t>MANO DE OBRA</t>
  </si>
  <si>
    <t>Salario</t>
  </si>
  <si>
    <t>Maestro Electrico de 1A</t>
  </si>
  <si>
    <t>Dia</t>
  </si>
  <si>
    <t>Electrico 1A</t>
  </si>
  <si>
    <t>Ayudante</t>
  </si>
  <si>
    <t>Total Mano de Obra:</t>
  </si>
  <si>
    <t>Mano de Obra directa:</t>
  </si>
  <si>
    <t>Leyes Sociales:</t>
  </si>
  <si>
    <t>Alimentación:</t>
  </si>
  <si>
    <t>Unitario Mano de Obra:</t>
  </si>
  <si>
    <t>Costo Directo por Unidad:</t>
  </si>
  <si>
    <t>Administracion y Gastos generales:</t>
  </si>
  <si>
    <t>Sub Total:</t>
  </si>
  <si>
    <t>Utilidad e imprevisto:</t>
  </si>
  <si>
    <t>PRECIO UNITARIO (CLP):</t>
  </si>
  <si>
    <t>PUC (USD):</t>
  </si>
  <si>
    <t>VDF Solar (5 KW)</t>
  </si>
  <si>
    <t>VDF Solar trifasico (10 KW) - VDF ACS355-03E-31A0-4 MÁS N827 S/PANEL, SOLAR PUMP 11KW</t>
  </si>
  <si>
    <t>Bomba Solar Pozo Profundo Lorentz PS150 HR-07S incl. Controlador</t>
  </si>
  <si>
    <t>METROS</t>
  </si>
  <si>
    <t>Cable Sumergible TOPCABLE XTREM DN-F 4G6</t>
  </si>
  <si>
    <t>MT</t>
  </si>
  <si>
    <r>
      <rPr>
        <b/>
        <sz val="8"/>
        <color rgb="FF000000"/>
        <rFont val="Arial"/>
        <family val="2"/>
      </rPr>
      <t>Descripción:</t>
    </r>
    <r>
      <rPr>
        <sz val="8"/>
        <color rgb="FF000000"/>
        <rFont val="Arial"/>
        <family val="2"/>
      </rPr>
      <t xml:space="preserve"> Hasta 3,4 kWp</t>
    </r>
  </si>
  <si>
    <t>MPPT 250/60</t>
  </si>
  <si>
    <r>
      <rPr>
        <b/>
        <sz val="8"/>
        <color rgb="FF000000"/>
        <rFont val="Arial"/>
        <family val="2"/>
      </rPr>
      <t>Descripción:</t>
    </r>
    <r>
      <rPr>
        <sz val="8"/>
        <color rgb="FF000000"/>
        <rFont val="Arial"/>
        <family val="2"/>
      </rPr>
      <t xml:space="preserve"> Capacidad 1,2 kWh instalado</t>
    </r>
  </si>
  <si>
    <t xml:space="preserve">Batería Gel 12V 100Ah </t>
  </si>
  <si>
    <t>un</t>
  </si>
  <si>
    <t>Gabinete para 4 baterías 12V100Ah</t>
  </si>
  <si>
    <r>
      <rPr>
        <b/>
        <sz val="8"/>
        <color rgb="FF000000"/>
        <rFont val="Arial"/>
        <family val="2"/>
      </rPr>
      <t>Descripción:</t>
    </r>
    <r>
      <rPr>
        <sz val="8"/>
        <color rgb="FF000000"/>
        <rFont val="Arial"/>
        <family val="2"/>
      </rPr>
      <t xml:space="preserve"> Capacidad 9,6 kWh instalado</t>
    </r>
  </si>
  <si>
    <t>Batería Litio 48V 2.4 kWh PYLONTECH</t>
  </si>
  <si>
    <t>Gabinete para 4 Baterías Litio</t>
  </si>
  <si>
    <r>
      <rPr>
        <b/>
        <sz val="8"/>
        <color rgb="FF000000"/>
        <rFont val="Arial"/>
        <family val="2"/>
      </rPr>
      <t>Descripción:</t>
    </r>
    <r>
      <rPr>
        <sz val="8"/>
        <color rgb="FF000000"/>
        <rFont val="Arial"/>
        <family val="2"/>
      </rPr>
      <t xml:space="preserve"> Capacidad 5 kWh instalado</t>
    </r>
  </si>
  <si>
    <t>Baterías Wattsonic 5kWh 48 V</t>
  </si>
  <si>
    <t>Fusible DC 48V  105A</t>
  </si>
  <si>
    <t>Interruptor bateria on-off 275a</t>
  </si>
  <si>
    <t xml:space="preserve">Tablero 400x300  </t>
  </si>
  <si>
    <t>Herramientas Menores</t>
  </si>
  <si>
    <t>S.G.</t>
  </si>
  <si>
    <t>Supervisor Electrico</t>
  </si>
  <si>
    <t>Día</t>
  </si>
  <si>
    <t>Maestro 1</t>
  </si>
  <si>
    <t>#</t>
  </si>
  <si>
    <t>Índice</t>
  </si>
  <si>
    <t>Resultados Encuesta Suplementaria de Ingresos (ESI) 2021 - Instituto Nacional de Estadísticas (INE)</t>
  </si>
  <si>
    <t>XV</t>
  </si>
  <si>
    <t>Arica y Parinacota</t>
  </si>
  <si>
    <t>I</t>
  </si>
  <si>
    <t>Tarapacá</t>
  </si>
  <si>
    <t>II</t>
  </si>
  <si>
    <t>Antofagasta</t>
  </si>
  <si>
    <t>III</t>
  </si>
  <si>
    <t>Atacama</t>
  </si>
  <si>
    <t>IV</t>
  </si>
  <si>
    <t>Coquimbo</t>
  </si>
  <si>
    <t>V</t>
  </si>
  <si>
    <t>Valparaíso</t>
  </si>
  <si>
    <t>RM</t>
  </si>
  <si>
    <t>VI</t>
  </si>
  <si>
    <t>O'Higgins</t>
  </si>
  <si>
    <t>VII</t>
  </si>
  <si>
    <t>Maule</t>
  </si>
  <si>
    <t>XVI</t>
  </si>
  <si>
    <t>Ñuble</t>
  </si>
  <si>
    <t>VIII</t>
  </si>
  <si>
    <t>Biobío</t>
  </si>
  <si>
    <t>IX</t>
  </si>
  <si>
    <t>La Araucanía</t>
  </si>
  <si>
    <t>XIV</t>
  </si>
  <si>
    <t>Los Ríos</t>
  </si>
  <si>
    <t>X</t>
  </si>
  <si>
    <t>Los Lagos</t>
  </si>
  <si>
    <t>XI</t>
  </si>
  <si>
    <t>Aysén</t>
  </si>
  <si>
    <t>XII</t>
  </si>
  <si>
    <t>Magallanes</t>
  </si>
  <si>
    <t>kW</t>
  </si>
  <si>
    <t xml:space="preserve">Bomba Solar superficial (1 kW) 48V </t>
  </si>
  <si>
    <t>VDF SOLAR (Hasta 5 kW)</t>
  </si>
  <si>
    <t>TABLERO CC PARA SISTEMA FOTOVOLTAICO OFF GRID DE HASTA 10 kW</t>
  </si>
  <si>
    <t>SUMINISTRO E INSTALACIÓN DE PANELES FOTOVOLTAICOS SOBRE SUELO</t>
  </si>
  <si>
    <t>kWp</t>
  </si>
  <si>
    <t>FUNDACIÓN DE ESTRUCTURAS CON TORNILLOS</t>
  </si>
  <si>
    <t>ESTRUCTURA SOBRE SUELO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</si>
</sst>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 &quot;$&quot;* #,##0_ ;_ &quot;$&quot;* \-#,##0_ ;_ &quot;$&quot;* &quot;-&quot;_ ;_ @_ "/>
    <numFmt numFmtId="165" formatCode="_ * #,##0_ ;_ * \-#,##0_ ;_ * &quot;-&quot;_ ;_ @_ "/>
    <numFmt numFmtId="166" formatCode="_-&quot;$&quot;\ * #,##0_-;\-&quot;$&quot;\ * #,##0_-;_-&quot;$&quot;\ * &quot;-&quot;_-;_-@_-"/>
    <numFmt numFmtId="167" formatCode="_-&quot;$&quot;\ * #,##0.00_-;\-&quot;$&quot;\ * #,##0.00_-;_-&quot;$&quot;\ * &quot;-&quot;??_-;_-@_-"/>
    <numFmt numFmtId="168" formatCode="_-* #,##0.00\ _€_-;\-* #,##0.00\ _€_-;_-* &quot;-&quot;??\ _€_-;_-@_-"/>
    <numFmt numFmtId="169" formatCode="_-* #,##0\ _€_-;\-* #,##0\ _€_-;_-* &quot;-&quot;??\ _€_-;_-@_-"/>
    <numFmt numFmtId="170" formatCode="_-[$$-340A]\ * #,##0_-;\-[$$-340A]\ * #,##0_-;_-[$$-340A]\ * &quot;-&quot;??_-;_-@_-"/>
    <numFmt numFmtId="171" formatCode="_ &quot;$&quot;* #,##0_ ;_ &quot;$&quot;* \-#,##0_ ;_ &quot;$&quot;* &quot;-&quot;??_ ;_ @_ "/>
    <numFmt numFmtId="172" formatCode="&quot;$&quot;#,##0"/>
    <numFmt numFmtId="173" formatCode="&quot;$&quot;#,##0.00"/>
    <numFmt numFmtId="174" formatCode="[$$-340A]#,##0"/>
    <numFmt numFmtId="175" formatCode="_-[$$-409]* #,##0_ ;_-[$$-409]* \-#,##0\ ;_-[$$-409]* &quot;-&quot;??_ ;_-@_ "/>
    <numFmt numFmtId="176" formatCode="_ [$$-340A]* #,##0_ ;_ [$$-340A]* \-#,##0_ ;_ [$$-340A]* &quot;-&quot;??_ ;_ @_ "/>
    <numFmt numFmtId="177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8"/>
      <name val="Arial"/>
      <family val="2"/>
    </font>
    <font>
      <b/>
      <sz val="8"/>
      <color rgb="FF4472C4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165" fontId="4" fillId="0" borderId="0" xfId="0" applyNumberFormat="1" applyFont="1"/>
    <xf numFmtId="0" fontId="3" fillId="2" borderId="1" xfId="0" applyFont="1" applyFill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 applyAlignment="1">
      <alignment horizontal="center"/>
    </xf>
    <xf numFmtId="171" fontId="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 applyAlignment="1">
      <alignment horizontal="right"/>
    </xf>
    <xf numFmtId="169" fontId="4" fillId="2" borderId="0" xfId="1" applyNumberFormat="1" applyFont="1" applyFill="1" applyBorder="1"/>
    <xf numFmtId="169" fontId="4" fillId="2" borderId="0" xfId="1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/>
    </xf>
    <xf numFmtId="170" fontId="4" fillId="2" borderId="0" xfId="1" applyNumberFormat="1" applyFont="1" applyFill="1" applyBorder="1" applyAlignment="1"/>
    <xf numFmtId="169" fontId="4" fillId="2" borderId="1" xfId="1" applyNumberFormat="1" applyFont="1" applyFill="1" applyBorder="1"/>
    <xf numFmtId="170" fontId="4" fillId="2" borderId="1" xfId="1" applyNumberFormat="1" applyFont="1" applyFill="1" applyBorder="1" applyAlignment="1"/>
    <xf numFmtId="4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70" fontId="4" fillId="2" borderId="1" xfId="1" applyNumberFormat="1" applyFont="1" applyFill="1" applyBorder="1"/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170" fontId="4" fillId="2" borderId="0" xfId="1" applyNumberFormat="1" applyFont="1" applyFill="1" applyBorder="1"/>
    <xf numFmtId="3" fontId="3" fillId="2" borderId="0" xfId="0" applyNumberFormat="1" applyFont="1" applyFill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0" fontId="3" fillId="2" borderId="2" xfId="0" applyFont="1" applyFill="1" applyBorder="1"/>
    <xf numFmtId="0" fontId="4" fillId="2" borderId="3" xfId="0" applyFont="1" applyFill="1" applyBorder="1"/>
    <xf numFmtId="0" fontId="4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3" fontId="3" fillId="3" borderId="0" xfId="0" applyNumberFormat="1" applyFont="1" applyFill="1"/>
    <xf numFmtId="3" fontId="3" fillId="3" borderId="0" xfId="0" applyNumberFormat="1" applyFont="1" applyFill="1" applyAlignment="1">
      <alignment horizontal="right"/>
    </xf>
    <xf numFmtId="0" fontId="3" fillId="4" borderId="9" xfId="0" applyFont="1" applyFill="1" applyBorder="1"/>
    <xf numFmtId="0" fontId="4" fillId="4" borderId="10" xfId="0" applyFont="1" applyFill="1" applyBorder="1"/>
    <xf numFmtId="0" fontId="4" fillId="4" borderId="11" xfId="0" applyFont="1" applyFill="1" applyBorder="1"/>
    <xf numFmtId="0" fontId="3" fillId="4" borderId="12" xfId="0" applyFont="1" applyFill="1" applyBorder="1"/>
    <xf numFmtId="0" fontId="4" fillId="4" borderId="0" xfId="0" applyFont="1" applyFill="1"/>
    <xf numFmtId="0" fontId="4" fillId="4" borderId="13" xfId="0" applyFont="1" applyFill="1" applyBorder="1"/>
    <xf numFmtId="0" fontId="4" fillId="4" borderId="12" xfId="0" applyFont="1" applyFill="1" applyBorder="1"/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169" fontId="4" fillId="2" borderId="1" xfId="1" applyNumberFormat="1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172" fontId="4" fillId="2" borderId="0" xfId="0" applyNumberFormat="1" applyFont="1" applyFill="1" applyAlignment="1">
      <alignment horizontal="center"/>
    </xf>
    <xf numFmtId="164" fontId="4" fillId="2" borderId="0" xfId="5" applyFont="1" applyFill="1" applyBorder="1" applyAlignment="1">
      <alignment horizontal="center"/>
    </xf>
    <xf numFmtId="173" fontId="4" fillId="2" borderId="0" xfId="0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174" fontId="4" fillId="2" borderId="1" xfId="0" applyNumberFormat="1" applyFont="1" applyFill="1" applyBorder="1" applyAlignment="1">
      <alignment horizontal="center"/>
    </xf>
    <xf numFmtId="164" fontId="4" fillId="2" borderId="1" xfId="5" applyFont="1" applyFill="1" applyBorder="1" applyAlignment="1">
      <alignment horizontal="center"/>
    </xf>
    <xf numFmtId="170" fontId="4" fillId="2" borderId="0" xfId="0" applyNumberFormat="1" applyFont="1" applyFill="1" applyAlignment="1">
      <alignment horizontal="right"/>
    </xf>
    <xf numFmtId="9" fontId="6" fillId="2" borderId="0" xfId="0" applyNumberFormat="1" applyFont="1" applyFill="1"/>
    <xf numFmtId="175" fontId="4" fillId="2" borderId="0" xfId="0" applyNumberFormat="1" applyFont="1" applyFill="1" applyAlignment="1">
      <alignment horizontal="right"/>
    </xf>
    <xf numFmtId="176" fontId="4" fillId="2" borderId="0" xfId="0" applyNumberFormat="1" applyFont="1" applyFill="1" applyAlignment="1">
      <alignment horizontal="right"/>
    </xf>
    <xf numFmtId="170" fontId="3" fillId="3" borderId="0" xfId="0" applyNumberFormat="1" applyFont="1" applyFill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174" fontId="4" fillId="0" borderId="1" xfId="0" applyNumberFormat="1" applyFont="1" applyBorder="1" applyAlignment="1">
      <alignment horizontal="center"/>
    </xf>
    <xf numFmtId="0" fontId="7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/>
    </xf>
    <xf numFmtId="171" fontId="4" fillId="2" borderId="0" xfId="0" applyNumberFormat="1" applyFont="1" applyFill="1" applyAlignment="1">
      <alignment horizontal="right"/>
    </xf>
    <xf numFmtId="0" fontId="9" fillId="5" borderId="1" xfId="0" applyFont="1" applyFill="1" applyBorder="1" applyAlignment="1">
      <alignment horizontal="center"/>
    </xf>
    <xf numFmtId="0" fontId="10" fillId="0" borderId="0" xfId="0" applyFont="1"/>
    <xf numFmtId="0" fontId="10" fillId="6" borderId="1" xfId="0" applyFon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10" fillId="6" borderId="1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49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2" fontId="10" fillId="7" borderId="1" xfId="0" applyNumberFormat="1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/>
    </xf>
    <xf numFmtId="49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10" fillId="8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177" fontId="0" fillId="7" borderId="1" xfId="0" applyNumberFormat="1" applyFill="1" applyBorder="1" applyAlignment="1">
      <alignment horizontal="center"/>
    </xf>
    <xf numFmtId="2" fontId="0" fillId="0" borderId="0" xfId="0" applyNumberFormat="1"/>
    <xf numFmtId="2" fontId="11" fillId="2" borderId="0" xfId="0" applyNumberFormat="1" applyFont="1" applyFill="1" applyAlignment="1">
      <alignment horizontal="center"/>
    </xf>
    <xf numFmtId="0" fontId="4" fillId="9" borderId="1" xfId="0" applyFont="1" applyFill="1" applyBorder="1" applyAlignment="1">
      <alignment horizontal="left"/>
    </xf>
    <xf numFmtId="0" fontId="4" fillId="9" borderId="1" xfId="0" applyFont="1" applyFill="1" applyBorder="1" applyAlignment="1">
      <alignment horizontal="center"/>
    </xf>
    <xf numFmtId="174" fontId="4" fillId="9" borderId="1" xfId="0" applyNumberFormat="1" applyFont="1" applyFill="1" applyBorder="1" applyAlignment="1">
      <alignment horizontal="center"/>
    </xf>
    <xf numFmtId="164" fontId="4" fillId="9" borderId="1" xfId="5" applyFont="1" applyFill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/>
    </xf>
    <xf numFmtId="174" fontId="4" fillId="9" borderId="1" xfId="0" applyNumberFormat="1" applyFont="1" applyFill="1" applyBorder="1" applyAlignment="1">
      <alignment horizontal="center" vertical="center"/>
    </xf>
    <xf numFmtId="164" fontId="4" fillId="9" borderId="1" xfId="5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left" wrapText="1"/>
    </xf>
    <xf numFmtId="169" fontId="4" fillId="9" borderId="1" xfId="1" applyNumberFormat="1" applyFont="1" applyFill="1" applyBorder="1" applyAlignment="1">
      <alignment horizontal="left"/>
    </xf>
    <xf numFmtId="3" fontId="4" fillId="9" borderId="1" xfId="0" applyNumberFormat="1" applyFont="1" applyFill="1" applyBorder="1" applyAlignment="1">
      <alignment horizontal="center"/>
    </xf>
    <xf numFmtId="2" fontId="4" fillId="9" borderId="1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1" fontId="11" fillId="2" borderId="0" xfId="0" applyNumberFormat="1" applyFont="1" applyFill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49" fontId="4" fillId="0" borderId="26" xfId="1" applyNumberFormat="1" applyFont="1" applyFill="1" applyBorder="1" applyAlignment="1">
      <alignment horizontal="left" wrapText="1"/>
    </xf>
    <xf numFmtId="0" fontId="4" fillId="0" borderId="27" xfId="0" applyFont="1" applyBorder="1" applyAlignment="1">
      <alignment horizontal="center"/>
    </xf>
    <xf numFmtId="4" fontId="4" fillId="0" borderId="21" xfId="0" applyNumberFormat="1" applyFont="1" applyBorder="1" applyAlignment="1">
      <alignment horizontal="center" wrapText="1"/>
    </xf>
    <xf numFmtId="4" fontId="4" fillId="0" borderId="22" xfId="0" applyNumberFormat="1" applyFont="1" applyBorder="1" applyAlignment="1">
      <alignment horizontal="center" wrapText="1"/>
    </xf>
    <xf numFmtId="49" fontId="4" fillId="0" borderId="4" xfId="1" applyNumberFormat="1" applyFont="1" applyFill="1" applyBorder="1" applyAlignment="1">
      <alignment horizontal="left" wrapText="1"/>
    </xf>
    <xf numFmtId="0" fontId="4" fillId="0" borderId="17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49" fontId="4" fillId="0" borderId="28" xfId="1" applyNumberFormat="1" applyFont="1" applyFill="1" applyBorder="1" applyAlignment="1">
      <alignment horizontal="left" wrapText="1"/>
    </xf>
    <xf numFmtId="0" fontId="4" fillId="0" borderId="29" xfId="0" applyFont="1" applyBorder="1" applyAlignment="1">
      <alignment horizontal="center"/>
    </xf>
    <xf numFmtId="4" fontId="4" fillId="0" borderId="30" xfId="0" applyNumberFormat="1" applyFont="1" applyBorder="1" applyAlignment="1">
      <alignment horizontal="center" wrapText="1"/>
    </xf>
    <xf numFmtId="4" fontId="4" fillId="0" borderId="31" xfId="0" applyNumberFormat="1" applyFont="1" applyBorder="1" applyAlignment="1">
      <alignment horizontal="center" wrapText="1"/>
    </xf>
    <xf numFmtId="0" fontId="4" fillId="2" borderId="1" xfId="0" applyFont="1" applyFill="1" applyBorder="1"/>
    <xf numFmtId="49" fontId="4" fillId="6" borderId="4" xfId="1" applyNumberFormat="1" applyFont="1" applyFill="1" applyBorder="1" applyAlignment="1">
      <alignment horizontal="left" wrapText="1"/>
    </xf>
    <xf numFmtId="0" fontId="4" fillId="6" borderId="17" xfId="0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 wrapText="1"/>
    </xf>
    <xf numFmtId="4" fontId="4" fillId="6" borderId="5" xfId="0" applyNumberFormat="1" applyFont="1" applyFill="1" applyBorder="1" applyAlignment="1">
      <alignment horizontal="center" wrapText="1"/>
    </xf>
    <xf numFmtId="169" fontId="4" fillId="6" borderId="1" xfId="1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center"/>
    </xf>
    <xf numFmtId="177" fontId="4" fillId="2" borderId="0" xfId="0" applyNumberFormat="1" applyFont="1" applyFill="1" applyAlignment="1">
      <alignment horizontal="right"/>
    </xf>
    <xf numFmtId="164" fontId="4" fillId="2" borderId="7" xfId="0" applyNumberFormat="1" applyFont="1" applyFill="1" applyBorder="1"/>
    <xf numFmtId="164" fontId="4" fillId="0" borderId="0" xfId="5" applyFont="1"/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</cellXfs>
  <cellStyles count="6">
    <cellStyle name="Millares 2" xfId="1" xr:uid="{00000000-0005-0000-0000-000000000000}"/>
    <cellStyle name="Moneda [0]" xfId="5" builtinId="7"/>
    <cellStyle name="Moneda [0] 2" xfId="2" xr:uid="{00000000-0005-0000-0000-000002000000}"/>
    <cellStyle name="Moneda 2" xfId="3" xr:uid="{00000000-0005-0000-0000-000003000000}"/>
    <cellStyle name="Normal" xfId="0" builtinId="0"/>
    <cellStyle name="Normal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54A275-89AE-4AA5-A7CA-135CD78A2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B257636B-6E55-47D0-9ED2-867F715D46CA}"/>
            </a:ext>
            <a:ext uri="{147F2762-F138-4A5C-976F-8EAC2B608ADB}">
              <a16:predDERef xmlns:a16="http://schemas.microsoft.com/office/drawing/2014/main" pred="{4154A275-89AE-4AA5-A7CA-135CD78A2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C0F96E-950B-48A6-8BBC-929FCEB65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CC1F71EE-6E89-4015-B73F-6DA704DF2C21}"/>
            </a:ext>
            <a:ext uri="{147F2762-F138-4A5C-976F-8EAC2B608ADB}">
              <a16:predDERef xmlns:a16="http://schemas.microsoft.com/office/drawing/2014/main" pred="{BCC0F96E-950B-48A6-8BBC-929FCEB65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566EFCE5-071B-4DBA-9B6D-32BFC6984A05}"/>
            </a:ext>
            <a:ext uri="{147F2762-F138-4A5C-976F-8EAC2B608ADB}">
              <a16:predDERef xmlns:a16="http://schemas.microsoft.com/office/drawing/2014/main" pred="{CC1F71EE-6E89-4015-B73F-6DA704DF2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2A99272F-7D94-4ECA-967F-8F9B8B6D7A76}"/>
            </a:ext>
            <a:ext uri="{147F2762-F138-4A5C-976F-8EAC2B608ADB}">
              <a16:predDERef xmlns:a16="http://schemas.microsoft.com/office/drawing/2014/main" pred="{566EFCE5-071B-4DBA-9B6D-32BFC698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52C000A2-4436-440B-84CD-FFCEE7BA61B4}"/>
            </a:ext>
            <a:ext uri="{147F2762-F138-4A5C-976F-8EAC2B608ADB}">
              <a16:predDERef xmlns:a16="http://schemas.microsoft.com/office/drawing/2014/main" pred="{2A99272F-7D94-4ECA-967F-8F9B8B6D7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C1735B15-5F94-4118-9705-E2B25E674401}"/>
            </a:ext>
            <a:ext uri="{147F2762-F138-4A5C-976F-8EAC2B608ADB}">
              <a16:predDERef xmlns:a16="http://schemas.microsoft.com/office/drawing/2014/main" pred="{52C000A2-4436-440B-84CD-FFCEE7BA6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D51A883F-E3B7-409A-B86F-A42229B5AE95}"/>
            </a:ext>
            <a:ext uri="{147F2762-F138-4A5C-976F-8EAC2B608ADB}">
              <a16:predDERef xmlns:a16="http://schemas.microsoft.com/office/drawing/2014/main" pred="{C1735B15-5F94-4118-9705-E2B25E674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355F6A81-67FE-4A53-9BC8-91CC50889EB5}"/>
            </a:ext>
            <a:ext uri="{147F2762-F138-4A5C-976F-8EAC2B608ADB}">
              <a16:predDERef xmlns:a16="http://schemas.microsoft.com/office/drawing/2014/main" pred="{D51A883F-E3B7-409A-B86F-A42229B5A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182D9F31-91C2-4354-AC80-C92180284823}"/>
            </a:ext>
            <a:ext uri="{147F2762-F138-4A5C-976F-8EAC2B608ADB}">
              <a16:predDERef xmlns:a16="http://schemas.microsoft.com/office/drawing/2014/main" pred="{355F6A81-67FE-4A53-9BC8-91CC50889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BD0B930-4E39-4052-8202-4CFAF504A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EB7B46BC-3503-4C41-9D30-86D113F3018B}"/>
            </a:ext>
            <a:ext uri="{147F2762-F138-4A5C-976F-8EAC2B608ADB}">
              <a16:predDERef xmlns:a16="http://schemas.microsoft.com/office/drawing/2014/main" pred="{2BD0B930-4E39-4052-8202-4CFAF504A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37486F49-1035-46E8-B8A7-0DBB0114E81B}"/>
            </a:ext>
            <a:ext uri="{147F2762-F138-4A5C-976F-8EAC2B608ADB}">
              <a16:predDERef xmlns:a16="http://schemas.microsoft.com/office/drawing/2014/main" pred="{EB7B46BC-3503-4C41-9D30-86D113F30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8F7E1B4B-177C-4FE8-A164-CB712A901539}"/>
            </a:ext>
            <a:ext uri="{147F2762-F138-4A5C-976F-8EAC2B608ADB}">
              <a16:predDERef xmlns:a16="http://schemas.microsoft.com/office/drawing/2014/main" pred="{37486F49-1035-46E8-B8A7-0DBB0114E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A8F62001-2DA0-4E1A-AE91-91A3D1133E4F}"/>
            </a:ext>
            <a:ext uri="{147F2762-F138-4A5C-976F-8EAC2B608ADB}">
              <a16:predDERef xmlns:a16="http://schemas.microsoft.com/office/drawing/2014/main" pred="{8F7E1B4B-177C-4FE8-A164-CB712A901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C5E507EF-1E76-47F6-BBDE-198F6F98BA4B}"/>
            </a:ext>
            <a:ext uri="{147F2762-F138-4A5C-976F-8EAC2B608ADB}">
              <a16:predDERef xmlns:a16="http://schemas.microsoft.com/office/drawing/2014/main" pred="{A8F62001-2DA0-4E1A-AE91-91A3D1133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4BF7BC0D-8F4B-4255-8AF1-CD160E635625}"/>
            </a:ext>
            <a:ext uri="{147F2762-F138-4A5C-976F-8EAC2B608ADB}">
              <a16:predDERef xmlns:a16="http://schemas.microsoft.com/office/drawing/2014/main" pred="{C5E507EF-1E76-47F6-BBDE-198F6F98B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5179A1EA-180F-4BF5-A081-C3ECB48A1FCE}"/>
            </a:ext>
            <a:ext uri="{147F2762-F138-4A5C-976F-8EAC2B608ADB}">
              <a16:predDERef xmlns:a16="http://schemas.microsoft.com/office/drawing/2014/main" pred="{4BF7BC0D-8F4B-4255-8AF1-CD160E635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252E1427-3518-4734-A881-81F285EDE3EC}"/>
            </a:ext>
            <a:ext uri="{147F2762-F138-4A5C-976F-8EAC2B608ADB}">
              <a16:predDERef xmlns:a16="http://schemas.microsoft.com/office/drawing/2014/main" pred="{5179A1EA-180F-4BF5-A081-C3ECB48A1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8D85EF-9832-40DC-9D63-F37CD0007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26328BB2-5F29-4E6E-8C5C-9F0006572AA1}"/>
            </a:ext>
            <a:ext uri="{147F2762-F138-4A5C-976F-8EAC2B608ADB}">
              <a16:predDERef xmlns:a16="http://schemas.microsoft.com/office/drawing/2014/main" pred="{EC002F7F-F5CC-4885-914E-613DDC487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2</xdr:row>
      <xdr:rowOff>57150</xdr:rowOff>
    </xdr:from>
    <xdr:to>
      <xdr:col>16</xdr:col>
      <xdr:colOff>557083</xdr:colOff>
      <xdr:row>19</xdr:row>
      <xdr:rowOff>138652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1EDA00-5D8B-4622-B736-A09C138CB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11930" y="422910"/>
          <a:ext cx="8904793" cy="31904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78D6C5-B30E-4D3A-A0C5-81F2467A6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3454C57F-BF6F-4140-BA28-8EB942427DC3}"/>
            </a:ext>
            <a:ext uri="{147F2762-F138-4A5C-976F-8EAC2B608ADB}">
              <a16:predDERef xmlns:a16="http://schemas.microsoft.com/office/drawing/2014/main" pred="{8369F995-8334-4D08-8627-40FEA030E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312198-E457-46B6-ACAC-479B0A048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8D771E60-4118-46A2-AE83-317C3046444B}"/>
            </a:ext>
            <a:ext uri="{147F2762-F138-4A5C-976F-8EAC2B608ADB}">
              <a16:predDERef xmlns:a16="http://schemas.microsoft.com/office/drawing/2014/main" pred="{BC985537-329E-4A67-9BC3-10D4E2EB4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5EEEC64D-61F9-4D69-8AAE-597ADC422694}"/>
            </a:ext>
            <a:ext uri="{147F2762-F138-4A5C-976F-8EAC2B608ADB}">
              <a16:predDERef xmlns:a16="http://schemas.microsoft.com/office/drawing/2014/main" pred="{8D771E60-4118-46A2-AE83-317C30464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91A7CD00-CAC7-43C5-ACEE-494D07406D4C}"/>
            </a:ext>
            <a:ext uri="{147F2762-F138-4A5C-976F-8EAC2B608ADB}">
              <a16:predDERef xmlns:a16="http://schemas.microsoft.com/office/drawing/2014/main" pred="{5EEEC64D-61F9-4D69-8AAE-597ADC422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148806-667D-4F59-98F7-2280B8E93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55A17B19-305C-4ADA-9483-FAC9442D528E}"/>
            </a:ext>
            <a:ext uri="{147F2762-F138-4A5C-976F-8EAC2B608ADB}">
              <a16:predDERef xmlns:a16="http://schemas.microsoft.com/office/drawing/2014/main" pred="{BC985537-329E-4A67-9BC3-10D4E2EB4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C92F8E5C-0F05-4479-B661-9262B045204A}"/>
            </a:ext>
            <a:ext uri="{147F2762-F138-4A5C-976F-8EAC2B608ADB}">
              <a16:predDERef xmlns:a16="http://schemas.microsoft.com/office/drawing/2014/main" pred="{55A17B19-305C-4ADA-9483-FAC9442D5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CE3E3E73-31C3-4105-8D0D-4AB1B571AD88}"/>
            </a:ext>
            <a:ext uri="{147F2762-F138-4A5C-976F-8EAC2B608ADB}">
              <a16:predDERef xmlns:a16="http://schemas.microsoft.com/office/drawing/2014/main" pred="{C92F8E5C-0F05-4479-B661-9262B0452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21CDDFF-83E5-4B75-B401-BE456C8C0D68}"/>
            </a:ext>
            <a:ext uri="{147F2762-F138-4A5C-976F-8EAC2B608ADB}">
              <a16:predDERef xmlns:a16="http://schemas.microsoft.com/office/drawing/2014/main" pred="{CE3E3E73-31C3-4105-8D0D-4AB1B571A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1225EE2C-8D7C-4D0C-BCC2-38C66467824B}"/>
            </a:ext>
            <a:ext uri="{147F2762-F138-4A5C-976F-8EAC2B608ADB}">
              <a16:predDERef xmlns:a16="http://schemas.microsoft.com/office/drawing/2014/main" pred="{021CDDFF-83E5-4B75-B401-BE456C8C0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C6AF34-0C1E-40C0-862B-51A2BD44F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BAA92D18-329C-4324-8536-C7DA45123359}"/>
            </a:ext>
            <a:ext uri="{147F2762-F138-4A5C-976F-8EAC2B608ADB}">
              <a16:predDERef xmlns:a16="http://schemas.microsoft.com/office/drawing/2014/main" pred="{E8CB9C10-DA63-4FE7-85E8-D6E100A43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9CC209ED-2955-4FF9-A4C4-6E7E6D4C5C10}"/>
            </a:ext>
            <a:ext uri="{147F2762-F138-4A5C-976F-8EAC2B608ADB}">
              <a16:predDERef xmlns:a16="http://schemas.microsoft.com/office/drawing/2014/main" pred="{B137CA4F-2170-4D4F-BE2D-6E5AEBEEC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A753D0BD-A1A0-43C7-B0AF-9A798764BACA}"/>
            </a:ext>
            <a:ext uri="{147F2762-F138-4A5C-976F-8EAC2B608ADB}">
              <a16:predDERef xmlns:a16="http://schemas.microsoft.com/office/drawing/2014/main" pred="{9CC209ED-2955-4FF9-A4C4-6E7E6D4C5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1E8CF2B0-5939-45F8-B2BF-A77994173EE6}"/>
            </a:ext>
            <a:ext uri="{147F2762-F138-4A5C-976F-8EAC2B608ADB}">
              <a16:predDERef xmlns:a16="http://schemas.microsoft.com/office/drawing/2014/main" pred="{A753D0BD-A1A0-43C7-B0AF-9A798764B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B444A2F1-46E5-475C-900A-F6E690F63F5F}"/>
            </a:ext>
            <a:ext uri="{147F2762-F138-4A5C-976F-8EAC2B608ADB}">
              <a16:predDERef xmlns:a16="http://schemas.microsoft.com/office/drawing/2014/main" pred="{1E8CF2B0-5939-45F8-B2BF-A77994173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B99ABCBE-4B34-4FF3-8903-30AF03424733}"/>
            </a:ext>
            <a:ext uri="{147F2762-F138-4A5C-976F-8EAC2B608ADB}">
              <a16:predDERef xmlns:a16="http://schemas.microsoft.com/office/drawing/2014/main" pred="{B444A2F1-46E5-475C-900A-F6E690F63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5294DED-46A6-46EB-8C0C-D9746465FFB3}"/>
            </a:ext>
            <a:ext uri="{147F2762-F138-4A5C-976F-8EAC2B608ADB}">
              <a16:predDERef xmlns:a16="http://schemas.microsoft.com/office/drawing/2014/main" pred="{B99ABCBE-4B34-4FF3-8903-30AF03424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A82B784C-B8F6-465D-BD84-513DF41DDAD7}"/>
            </a:ext>
            <a:ext uri="{147F2762-F138-4A5C-976F-8EAC2B608ADB}">
              <a16:predDERef xmlns:a16="http://schemas.microsoft.com/office/drawing/2014/main" pred="{05294DED-46A6-46EB-8C0C-D9746465F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23EA0B-9894-49BD-BACB-03220ED8E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D3DE003A-5A75-4E25-B292-666F2D548767}"/>
            </a:ext>
            <a:ext uri="{147F2762-F138-4A5C-976F-8EAC2B608ADB}">
              <a16:predDERef xmlns:a16="http://schemas.microsoft.com/office/drawing/2014/main" pred="{3223EA0B-9894-49BD-BACB-03220ED8E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A200468F-F948-4CDE-A15A-A29621369DD6}"/>
            </a:ext>
            <a:ext uri="{147F2762-F138-4A5C-976F-8EAC2B608ADB}">
              <a16:predDERef xmlns:a16="http://schemas.microsoft.com/office/drawing/2014/main" pred="{D3DE003A-5A75-4E25-B292-666F2D548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20A365AB-A5E3-444C-AA75-4AF5B878F392}"/>
            </a:ext>
            <a:ext uri="{147F2762-F138-4A5C-976F-8EAC2B608ADB}">
              <a16:predDERef xmlns:a16="http://schemas.microsoft.com/office/drawing/2014/main" pred="{A200468F-F948-4CDE-A15A-A29621369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10A4698E-9362-46D6-B12E-2BBB383197F7}"/>
            </a:ext>
            <a:ext uri="{147F2762-F138-4A5C-976F-8EAC2B608ADB}">
              <a16:predDERef xmlns:a16="http://schemas.microsoft.com/office/drawing/2014/main" pred="{20A365AB-A5E3-444C-AA75-4AF5B878F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39478742-8EAF-4DB6-B619-6CCA5FFD2713}"/>
            </a:ext>
            <a:ext uri="{147F2762-F138-4A5C-976F-8EAC2B608ADB}">
              <a16:predDERef xmlns:a16="http://schemas.microsoft.com/office/drawing/2014/main" pred="{10A4698E-9362-46D6-B12E-2BBB38319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600DCB79-0DCC-4739-85C4-D89C16DDC766}"/>
            </a:ext>
            <a:ext uri="{147F2762-F138-4A5C-976F-8EAC2B608ADB}">
              <a16:predDERef xmlns:a16="http://schemas.microsoft.com/office/drawing/2014/main" pred="{39478742-8EAF-4DB6-B619-6CCA5FFD2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2A4E1AD-659E-4A41-9496-7E9BF0DD0E5D}"/>
            </a:ext>
            <a:ext uri="{147F2762-F138-4A5C-976F-8EAC2B608ADB}">
              <a16:predDERef xmlns:a16="http://schemas.microsoft.com/office/drawing/2014/main" pred="{600DCB79-0DCC-4739-85C4-D89C16DDC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45D86210-A26C-4E80-AD32-68F9B8DB1754}"/>
            </a:ext>
            <a:ext uri="{147F2762-F138-4A5C-976F-8EAC2B608ADB}">
              <a16:predDERef xmlns:a16="http://schemas.microsoft.com/office/drawing/2014/main" pred="{02A4E1AD-659E-4A41-9496-7E9BF0DD0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A950944-6173-48FD-AC7D-F4FE263B2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F137F83E-3892-4052-A896-DC8FDA53086C}"/>
            </a:ext>
            <a:ext uri="{147F2762-F138-4A5C-976F-8EAC2B608ADB}">
              <a16:predDERef xmlns:a16="http://schemas.microsoft.com/office/drawing/2014/main" pred="{6A950944-6173-48FD-AC7D-F4FE263B2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E8E6A93F-DEDB-4E2A-B52B-94F3AE294E19}"/>
            </a:ext>
            <a:ext uri="{147F2762-F138-4A5C-976F-8EAC2B608ADB}">
              <a16:predDERef xmlns:a16="http://schemas.microsoft.com/office/drawing/2014/main" pred="{F137F83E-3892-4052-A896-DC8FDA530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8CD6B4F1-A741-4361-8F00-3C4DC4996BC8}"/>
            </a:ext>
            <a:ext uri="{147F2762-F138-4A5C-976F-8EAC2B608ADB}">
              <a16:predDERef xmlns:a16="http://schemas.microsoft.com/office/drawing/2014/main" pred="{E8E6A93F-DEDB-4E2A-B52B-94F3AE294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1B0F7E6B-AB80-4C70-B13F-D290837F95F5}"/>
            </a:ext>
            <a:ext uri="{147F2762-F138-4A5C-976F-8EAC2B608ADB}">
              <a16:predDERef xmlns:a16="http://schemas.microsoft.com/office/drawing/2014/main" pred="{8CD6B4F1-A741-4361-8F00-3C4DC4996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3C4AAED1-B6E5-430F-9803-17998E4944FA}"/>
            </a:ext>
            <a:ext uri="{147F2762-F138-4A5C-976F-8EAC2B608ADB}">
              <a16:predDERef xmlns:a16="http://schemas.microsoft.com/office/drawing/2014/main" pred="{1B0F7E6B-AB80-4C70-B13F-D290837F9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5C9057F1-76C0-47EB-BAA5-9417C45A1720}"/>
            </a:ext>
            <a:ext uri="{147F2762-F138-4A5C-976F-8EAC2B608ADB}">
              <a16:predDERef xmlns:a16="http://schemas.microsoft.com/office/drawing/2014/main" pred="{3C4AAED1-B6E5-430F-9803-17998E494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9365CB80-56F5-4CE7-BE17-3715EF60E229}"/>
            </a:ext>
            <a:ext uri="{147F2762-F138-4A5C-976F-8EAC2B608ADB}">
              <a16:predDERef xmlns:a16="http://schemas.microsoft.com/office/drawing/2014/main" pred="{5C9057F1-76C0-47EB-BAA5-9417C45A1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192980C4-F665-4B05-95E5-C7C94DFE4C68}"/>
            </a:ext>
            <a:ext uri="{147F2762-F138-4A5C-976F-8EAC2B608ADB}">
              <a16:predDERef xmlns:a16="http://schemas.microsoft.com/office/drawing/2014/main" pred="{9365CB80-56F5-4CE7-BE17-3715EF60E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06D3E4-7C4D-412E-AFE9-468726424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EB982600-17BD-401E-8B79-29A0D49C395D}"/>
            </a:ext>
            <a:ext uri="{147F2762-F138-4A5C-976F-8EAC2B608ADB}">
              <a16:predDERef xmlns:a16="http://schemas.microsoft.com/office/drawing/2014/main" pred="{DC06D3E4-7C4D-412E-AFE9-468726424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FE3194FD-D881-4F39-8A0A-C3CAA983E423}"/>
            </a:ext>
            <a:ext uri="{147F2762-F138-4A5C-976F-8EAC2B608ADB}">
              <a16:predDERef xmlns:a16="http://schemas.microsoft.com/office/drawing/2014/main" pred="{EB982600-17BD-401E-8B79-29A0D49C3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8D79B2FE-F3B6-47AA-9971-B18A27B22102}"/>
            </a:ext>
            <a:ext uri="{147F2762-F138-4A5C-976F-8EAC2B608ADB}">
              <a16:predDERef xmlns:a16="http://schemas.microsoft.com/office/drawing/2014/main" pred="{FE3194FD-D881-4F39-8A0A-C3CAA983E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73289FF5-AE16-4586-8DC7-EE4DCAA02A7D}"/>
            </a:ext>
            <a:ext uri="{147F2762-F138-4A5C-976F-8EAC2B608ADB}">
              <a16:predDERef xmlns:a16="http://schemas.microsoft.com/office/drawing/2014/main" pred="{8D79B2FE-F3B6-47AA-9971-B18A27B22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EDAA6C9C-A04B-4757-8C15-806DD1B9FCFE}"/>
            </a:ext>
            <a:ext uri="{147F2762-F138-4A5C-976F-8EAC2B608ADB}">
              <a16:predDERef xmlns:a16="http://schemas.microsoft.com/office/drawing/2014/main" pred="{73289FF5-AE16-4586-8DC7-EE4DCAA02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4E458CC4-4B8B-4A59-A7B1-930F37018CB5}"/>
            </a:ext>
            <a:ext uri="{147F2762-F138-4A5C-976F-8EAC2B608ADB}">
              <a16:predDERef xmlns:a16="http://schemas.microsoft.com/office/drawing/2014/main" pred="{EDAA6C9C-A04B-4757-8C15-806DD1B9FC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444A36B7-85D9-43D5-95EC-8FA1C6673E24}"/>
            </a:ext>
            <a:ext uri="{147F2762-F138-4A5C-976F-8EAC2B608ADB}">
              <a16:predDERef xmlns:a16="http://schemas.microsoft.com/office/drawing/2014/main" pred="{4E458CC4-4B8B-4A59-A7B1-930F37018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6EE291A2-BDBD-40A7-B066-5BBC65D4FEB8}"/>
            </a:ext>
            <a:ext uri="{147F2762-F138-4A5C-976F-8EAC2B608ADB}">
              <a16:predDERef xmlns:a16="http://schemas.microsoft.com/office/drawing/2014/main" pred="{444A36B7-85D9-43D5-95EC-8FA1C6673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30078-E1BE-49A3-BE7D-8F2127EC2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F7AD871C-8CE2-4D4D-B8BD-2F9411B7EB77}"/>
            </a:ext>
            <a:ext uri="{147F2762-F138-4A5C-976F-8EAC2B608ADB}">
              <a16:predDERef xmlns:a16="http://schemas.microsoft.com/office/drawing/2014/main" pred="{32D30078-E1BE-49A3-BE7D-8F2127EC2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EBFB71F-67E9-4D79-A386-37DEA46CC69C}"/>
            </a:ext>
            <a:ext uri="{147F2762-F138-4A5C-976F-8EAC2B608ADB}">
              <a16:predDERef xmlns:a16="http://schemas.microsoft.com/office/drawing/2014/main" pred="{F7AD871C-8CE2-4D4D-B8BD-2F9411B7E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7841CDF3-3C39-4375-9EE6-715387B2CB80}"/>
            </a:ext>
            <a:ext uri="{147F2762-F138-4A5C-976F-8EAC2B608ADB}">
              <a16:predDERef xmlns:a16="http://schemas.microsoft.com/office/drawing/2014/main" pred="{0EBFB71F-67E9-4D79-A386-37DEA46CC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591F223D-B44B-47AA-894A-59549070CED8}"/>
            </a:ext>
            <a:ext uri="{147F2762-F138-4A5C-976F-8EAC2B608ADB}">
              <a16:predDERef xmlns:a16="http://schemas.microsoft.com/office/drawing/2014/main" pred="{7841CDF3-3C39-4375-9EE6-715387B2C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D3D10C7-3493-4E36-A8BF-CF295D422290}"/>
            </a:ext>
            <a:ext uri="{147F2762-F138-4A5C-976F-8EAC2B608ADB}">
              <a16:predDERef xmlns:a16="http://schemas.microsoft.com/office/drawing/2014/main" pred="{591F223D-B44B-47AA-894A-59549070C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C5BB7654-FD8C-494D-81AF-57610DFA9F7C}"/>
            </a:ext>
            <a:ext uri="{147F2762-F138-4A5C-976F-8EAC2B608ADB}">
              <a16:predDERef xmlns:a16="http://schemas.microsoft.com/office/drawing/2014/main" pred="{0D3D10C7-3493-4E36-A8BF-CF295D422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  <xdr:twoCellAnchor editAs="oneCell">
    <xdr:from>
      <xdr:col>7</xdr:col>
      <xdr:colOff>251460</xdr:colOff>
      <xdr:row>0</xdr:row>
      <xdr:rowOff>68580</xdr:rowOff>
    </xdr:from>
    <xdr:to>
      <xdr:col>8</xdr:col>
      <xdr:colOff>243840</xdr:colOff>
      <xdr:row>5</xdr:row>
      <xdr:rowOff>83820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4D8BBC1E-DE65-41F7-9122-85FEAD65019C}"/>
            </a:ext>
            <a:ext uri="{147F2762-F138-4A5C-976F-8EAC2B608ADB}">
              <a16:predDERef xmlns:a16="http://schemas.microsoft.com/office/drawing/2014/main" pred="{C5BB7654-FD8C-494D-81AF-57610DFA9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6135" y="68580"/>
          <a:ext cx="706755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66675</xdr:rowOff>
    </xdr:from>
    <xdr:to>
      <xdr:col>7</xdr:col>
      <xdr:colOff>190500</xdr:colOff>
      <xdr:row>5</xdr:row>
      <xdr:rowOff>85725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AD70E04E-8EEB-40C1-A372-D611CC26165E}"/>
            </a:ext>
            <a:ext uri="{147F2762-F138-4A5C-976F-8EAC2B608ADB}">
              <a16:predDERef xmlns:a16="http://schemas.microsoft.com/office/drawing/2014/main" pred="{4D8BBC1E-DE65-41F7-9122-85FEAD650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66675"/>
          <a:ext cx="790575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127D5-8FEF-4151-8F93-E29EE5DF2ECC}">
  <dimension ref="A1:M28"/>
  <sheetViews>
    <sheetView tabSelected="1" view="pageBreakPreview" zoomScaleNormal="100" zoomScaleSheetLayoutView="100" workbookViewId="0">
      <selection activeCell="N22" sqref="M19:N22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52.42578125" style="1" customWidth="1"/>
    <col min="4" max="8" width="10.7109375" style="1" customWidth="1"/>
    <col min="9" max="9" width="11.1406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2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3</v>
      </c>
      <c r="F8" s="23">
        <v>894.82</v>
      </c>
      <c r="G8" s="22" t="s">
        <v>4</v>
      </c>
      <c r="H8" s="58">
        <v>35630</v>
      </c>
      <c r="I8" s="35"/>
    </row>
    <row r="9" spans="1:11" x14ac:dyDescent="0.2">
      <c r="A9" s="34"/>
      <c r="B9" s="4"/>
      <c r="C9" s="4"/>
      <c r="D9" s="5"/>
      <c r="E9" s="22" t="s">
        <v>5</v>
      </c>
      <c r="F9" s="23" t="s">
        <v>108</v>
      </c>
      <c r="G9" s="22" t="s">
        <v>7</v>
      </c>
      <c r="H9" s="94">
        <f>VLOOKUP(F9,'Factor Socioeconómico'!C3:E18,3,FALSE)</f>
        <v>0.69673286354900699</v>
      </c>
      <c r="I9" s="35"/>
    </row>
    <row r="10" spans="1:11" ht="24.75" customHeight="1" thickBot="1" x14ac:dyDescent="0.25">
      <c r="A10" s="34"/>
      <c r="B10" s="53" t="s">
        <v>8</v>
      </c>
      <c r="C10" s="137" t="s">
        <v>9</v>
      </c>
      <c r="D10" s="137"/>
      <c r="E10" s="137"/>
      <c r="F10" s="137"/>
      <c r="G10" s="137"/>
      <c r="H10" s="137"/>
      <c r="I10" s="35"/>
    </row>
    <row r="11" spans="1:11" ht="12" thickBot="1" x14ac:dyDescent="0.25">
      <c r="A11" s="33"/>
      <c r="B11" s="5"/>
      <c r="C11" s="109" t="s">
        <v>10</v>
      </c>
      <c r="D11" s="110" t="s">
        <v>11</v>
      </c>
      <c r="E11" s="110" t="s">
        <v>12</v>
      </c>
      <c r="F11" s="111" t="s">
        <v>13</v>
      </c>
      <c r="G11" s="5"/>
      <c r="H11" s="5"/>
      <c r="I11" s="35"/>
    </row>
    <row r="12" spans="1:11" x14ac:dyDescent="0.2">
      <c r="A12" s="33"/>
      <c r="B12" s="5"/>
      <c r="C12" s="112" t="s">
        <v>14</v>
      </c>
      <c r="D12" s="113" t="str">
        <f>'INV. OFF'!F8</f>
        <v>UNIDAD</v>
      </c>
      <c r="E12" s="114">
        <f>F12*0.8</f>
        <v>40.717365014433767</v>
      </c>
      <c r="F12" s="115">
        <f>'INV. OFF'!H47/$H$8</f>
        <v>50.896706268042202</v>
      </c>
      <c r="G12" s="55"/>
      <c r="H12" s="56"/>
      <c r="I12" s="35"/>
    </row>
    <row r="13" spans="1:11" x14ac:dyDescent="0.2">
      <c r="A13" s="33"/>
      <c r="B13" s="5"/>
      <c r="C13" s="125" t="s">
        <v>123</v>
      </c>
      <c r="D13" s="126" t="str">
        <f>'VDF SOLAR'!F8</f>
        <v>UNIDAD</v>
      </c>
      <c r="E13" s="127">
        <f t="shared" ref="E13:E22" si="0">F13*0.8</f>
        <v>8.5446305232746305</v>
      </c>
      <c r="F13" s="128">
        <f>'VDF SOLAR'!H47/$H$8</f>
        <v>10.680788154093287</v>
      </c>
      <c r="G13" s="55"/>
      <c r="H13" s="56"/>
      <c r="I13" s="56"/>
    </row>
    <row r="14" spans="1:11" x14ac:dyDescent="0.2">
      <c r="A14" s="33"/>
      <c r="B14" s="5"/>
      <c r="C14" s="116" t="s">
        <v>15</v>
      </c>
      <c r="D14" s="117" t="str">
        <f>'VDF SOLAR 3F'!F8</f>
        <v>UNIDAD</v>
      </c>
      <c r="E14" s="118">
        <f t="shared" si="0"/>
        <v>24.842660495769714</v>
      </c>
      <c r="F14" s="119">
        <f>'VDF SOLAR 3F'!H47/$H$8</f>
        <v>31.05332561971214</v>
      </c>
      <c r="G14" s="55"/>
      <c r="H14" s="56"/>
      <c r="I14" s="35"/>
    </row>
    <row r="15" spans="1:11" x14ac:dyDescent="0.2">
      <c r="A15" s="33"/>
      <c r="B15" s="5"/>
      <c r="C15" s="116" t="s">
        <v>16</v>
      </c>
      <c r="D15" s="117" t="str">
        <f>'Bomba Solar'!F8</f>
        <v>kW</v>
      </c>
      <c r="E15" s="118">
        <f t="shared" si="0"/>
        <v>13.201210515416083</v>
      </c>
      <c r="F15" s="119">
        <f>'Bomba Solar'!H47/$H$8</f>
        <v>16.501513144270103</v>
      </c>
      <c r="G15" s="55"/>
      <c r="H15" s="56"/>
      <c r="I15" s="35"/>
    </row>
    <row r="16" spans="1:11" x14ac:dyDescent="0.2">
      <c r="A16" s="33"/>
      <c r="B16" s="5"/>
      <c r="C16" s="116" t="s">
        <v>17</v>
      </c>
      <c r="D16" s="117" t="str">
        <f>'Bomba Solar Pozo Profundo'!F8</f>
        <v>kW</v>
      </c>
      <c r="E16" s="118">
        <f t="shared" si="0"/>
        <v>23.572684134276596</v>
      </c>
      <c r="F16" s="119">
        <f>'Bomba Solar Pozo Profundo'!H47/$H$8</f>
        <v>29.465855167845742</v>
      </c>
      <c r="G16" s="55"/>
      <c r="H16" s="56"/>
      <c r="I16" s="35"/>
    </row>
    <row r="17" spans="1:13" x14ac:dyDescent="0.2">
      <c r="A17" s="33"/>
      <c r="B17" s="5"/>
      <c r="C17" s="116" t="s">
        <v>18</v>
      </c>
      <c r="D17" s="117" t="str">
        <f>'Cableado Bomba Solar Pozo P'!F8</f>
        <v>METROS</v>
      </c>
      <c r="E17" s="118">
        <f t="shared" si="0"/>
        <v>0.20593063865080696</v>
      </c>
      <c r="F17" s="119">
        <f>'Cableado Bomba Solar Pozo P'!H46/$H$8</f>
        <v>0.25741329831350868</v>
      </c>
      <c r="G17" s="55"/>
      <c r="H17" s="56"/>
      <c r="I17" s="56"/>
    </row>
    <row r="18" spans="1:13" ht="22.5" x14ac:dyDescent="0.2">
      <c r="A18" s="33"/>
      <c r="B18" s="5"/>
      <c r="C18" s="116" t="s">
        <v>19</v>
      </c>
      <c r="D18" s="117" t="str">
        <f>'R.Carga'!F8</f>
        <v>UNIDAD</v>
      </c>
      <c r="E18" s="118">
        <f t="shared" si="0"/>
        <v>15.344375428912082</v>
      </c>
      <c r="F18" s="119">
        <f>'R.Carga'!H47/$H$8</f>
        <v>19.180469286140102</v>
      </c>
      <c r="G18" s="55"/>
      <c r="H18" s="56"/>
      <c r="I18" s="35"/>
    </row>
    <row r="19" spans="1:13" x14ac:dyDescent="0.2">
      <c r="A19" s="33"/>
      <c r="B19" s="5"/>
      <c r="C19" s="116" t="s">
        <v>20</v>
      </c>
      <c r="D19" s="117" t="str">
        <f>'BATERÍA AGM Y GEL'!F8</f>
        <v>UNIDAD</v>
      </c>
      <c r="E19" s="118">
        <f t="shared" si="0"/>
        <v>19.69470006919649</v>
      </c>
      <c r="F19" s="119">
        <f>'BATERÍA AGM Y GEL'!H48/$H$8</f>
        <v>24.618375086495611</v>
      </c>
      <c r="G19" s="55"/>
      <c r="H19" s="56"/>
      <c r="I19" s="35"/>
    </row>
    <row r="20" spans="1:13" x14ac:dyDescent="0.2">
      <c r="A20" s="33"/>
      <c r="B20" s="5"/>
      <c r="C20" s="116" t="s">
        <v>21</v>
      </c>
      <c r="D20" s="117" t="str">
        <f>'BATERÍA LITIO'!F8</f>
        <v>UNIDAD</v>
      </c>
      <c r="E20" s="118">
        <f t="shared" si="0"/>
        <v>100.54943352602126</v>
      </c>
      <c r="F20" s="119">
        <f>'BATERÍA LITIO'!H48/$H$8</f>
        <v>125.68679190752657</v>
      </c>
      <c r="G20" s="55"/>
      <c r="H20" s="56"/>
      <c r="I20" s="35"/>
      <c r="M20" s="8"/>
    </row>
    <row r="21" spans="1:13" x14ac:dyDescent="0.2">
      <c r="A21" s="33"/>
      <c r="B21" s="5"/>
      <c r="C21" s="116" t="s">
        <v>22</v>
      </c>
      <c r="D21" s="117" t="str">
        <f>'BATERIA LITIO ENSAMBLADA'!F8</f>
        <v>UNIDAD</v>
      </c>
      <c r="E21" s="118">
        <f t="shared" si="0"/>
        <v>50.897753106898797</v>
      </c>
      <c r="F21" s="119">
        <f>'BATERIA LITIO ENSAMBLADA'!H47/$H$8</f>
        <v>63.622191383623495</v>
      </c>
      <c r="G21" s="55"/>
      <c r="H21" s="56"/>
      <c r="I21" s="35"/>
    </row>
    <row r="22" spans="1:13" ht="22.5" x14ac:dyDescent="0.2">
      <c r="A22" s="33"/>
      <c r="B22" s="5"/>
      <c r="C22" s="120" t="s">
        <v>124</v>
      </c>
      <c r="D22" s="121" t="str">
        <f>'T. CC'!F8</f>
        <v>UNIDAD</v>
      </c>
      <c r="E22" s="122">
        <f t="shared" si="0"/>
        <v>2.2399415247787466</v>
      </c>
      <c r="F22" s="123">
        <f>'T. CC'!H48/$H$8</f>
        <v>2.7999269059734333</v>
      </c>
      <c r="G22" s="57"/>
      <c r="H22" s="56"/>
      <c r="I22" s="56"/>
      <c r="K22" s="9"/>
    </row>
    <row r="23" spans="1:13" ht="22.5" x14ac:dyDescent="0.2">
      <c r="A23" s="33"/>
      <c r="B23" s="13"/>
      <c r="C23" s="129" t="s">
        <v>125</v>
      </c>
      <c r="D23" s="130" t="s">
        <v>126</v>
      </c>
      <c r="E23" s="130">
        <v>12.392699452278201</v>
      </c>
      <c r="F23" s="130">
        <v>16.523599269704267</v>
      </c>
      <c r="G23" s="28"/>
      <c r="H23" s="16"/>
      <c r="I23" s="16"/>
    </row>
    <row r="24" spans="1:13" x14ac:dyDescent="0.2">
      <c r="A24" s="31"/>
      <c r="B24" s="10"/>
      <c r="C24" s="124" t="s">
        <v>127</v>
      </c>
      <c r="D24" s="20" t="s">
        <v>25</v>
      </c>
      <c r="E24" s="20">
        <v>1.4773585664899647</v>
      </c>
      <c r="F24" s="20">
        <v>1.9698114219866196</v>
      </c>
      <c r="G24" s="28"/>
      <c r="H24" s="131"/>
      <c r="I24" s="131"/>
    </row>
    <row r="25" spans="1:13" x14ac:dyDescent="0.2">
      <c r="A25" s="31"/>
      <c r="B25" s="10"/>
      <c r="C25" s="124" t="s">
        <v>128</v>
      </c>
      <c r="D25" s="20" t="s">
        <v>126</v>
      </c>
      <c r="E25" s="20">
        <v>1.8974777422777023</v>
      </c>
      <c r="F25" s="20">
        <v>2.5299703230369364</v>
      </c>
      <c r="G25" s="28"/>
      <c r="H25" s="131"/>
      <c r="I25" s="131"/>
    </row>
    <row r="26" spans="1:13" x14ac:dyDescent="0.2">
      <c r="A26" s="31"/>
      <c r="B26" s="10"/>
      <c r="C26" s="4"/>
      <c r="D26" s="15"/>
      <c r="E26" s="15"/>
      <c r="F26" s="15"/>
      <c r="G26" s="28"/>
      <c r="H26" s="131"/>
      <c r="I26" s="131"/>
    </row>
    <row r="27" spans="1:13" ht="12" thickBot="1" x14ac:dyDescent="0.25">
      <c r="A27" s="36"/>
      <c r="B27" s="37"/>
      <c r="C27" s="37"/>
      <c r="D27" s="37"/>
      <c r="E27" s="37"/>
      <c r="F27" s="37"/>
      <c r="G27" s="37"/>
      <c r="H27" s="132"/>
      <c r="I27" s="132"/>
    </row>
    <row r="28" spans="1:13" x14ac:dyDescent="0.2">
      <c r="H28" s="133"/>
      <c r="I28" s="133"/>
    </row>
  </sheetData>
  <mergeCells count="2">
    <mergeCell ref="A7:I7"/>
    <mergeCell ref="C10:H10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E99FD6-4EDF-4936-B545-F80C84D8403E}">
          <x14:formula1>
            <xm:f>'Factor Socioeconómico'!$C$3:$C$18</xm:f>
          </x14:formula1>
          <xm:sqref>F9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F100F-C4B6-434E-ACAA-CE962E08B0CC}">
  <dimension ref="A1:M49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21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6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70" t="s">
        <v>74</v>
      </c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4"/>
      <c r="B12" s="70"/>
      <c r="C12" s="54"/>
      <c r="D12" s="54"/>
      <c r="E12" s="54"/>
      <c r="F12" s="54"/>
      <c r="G12" s="54"/>
      <c r="H12" s="54"/>
      <c r="I12" s="35"/>
      <c r="J12" s="6"/>
    </row>
    <row r="13" spans="1:11" x14ac:dyDescent="0.2">
      <c r="A13" s="31" t="s">
        <v>27</v>
      </c>
      <c r="B13" s="4"/>
      <c r="C13" s="4"/>
      <c r="D13" s="4"/>
      <c r="E13" s="4"/>
      <c r="F13" s="4"/>
      <c r="G13" s="4"/>
      <c r="H13" s="4"/>
      <c r="I13" s="35"/>
    </row>
    <row r="14" spans="1:11" x14ac:dyDescent="0.2">
      <c r="A14" s="33"/>
      <c r="B14" s="7" t="s">
        <v>28</v>
      </c>
      <c r="C14" s="7" t="s">
        <v>29</v>
      </c>
      <c r="D14" s="7" t="s">
        <v>11</v>
      </c>
      <c r="E14" s="7" t="s">
        <v>30</v>
      </c>
      <c r="F14" s="7" t="s">
        <v>31</v>
      </c>
      <c r="G14" s="7" t="s">
        <v>32</v>
      </c>
      <c r="H14" s="7" t="s">
        <v>33</v>
      </c>
      <c r="I14" s="35"/>
    </row>
    <row r="15" spans="1:11" x14ac:dyDescent="0.2">
      <c r="A15" s="33"/>
      <c r="B15" s="7"/>
      <c r="C15" s="103" t="s">
        <v>75</v>
      </c>
      <c r="D15" s="96" t="s">
        <v>72</v>
      </c>
      <c r="E15" s="96">
        <v>4</v>
      </c>
      <c r="F15" s="96">
        <v>0</v>
      </c>
      <c r="G15" s="97">
        <f>1200*F9</f>
        <v>1073784</v>
      </c>
      <c r="H15" s="98">
        <f>G15*E15</f>
        <v>4295136</v>
      </c>
      <c r="I15" s="35"/>
    </row>
    <row r="16" spans="1:11" x14ac:dyDescent="0.2">
      <c r="A16" s="33"/>
      <c r="B16" s="7"/>
      <c r="C16" s="68" t="s">
        <v>76</v>
      </c>
      <c r="D16" s="60" t="s">
        <v>72</v>
      </c>
      <c r="E16" s="60">
        <v>1</v>
      </c>
      <c r="F16" s="60">
        <v>0</v>
      </c>
      <c r="G16" s="69">
        <v>135000</v>
      </c>
      <c r="H16" s="62">
        <f>G16*E16</f>
        <v>135000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37</v>
      </c>
      <c r="H17" s="16">
        <f>SUM(H15:H16)</f>
        <v>4430136</v>
      </c>
      <c r="I17" s="35"/>
    </row>
    <row r="18" spans="1:13" x14ac:dyDescent="0.2">
      <c r="A18" s="33"/>
      <c r="B18" s="13"/>
      <c r="C18" s="14"/>
      <c r="D18" s="25"/>
      <c r="E18" s="25"/>
      <c r="F18" s="25"/>
      <c r="G18" s="28" t="s">
        <v>38</v>
      </c>
      <c r="H18" s="16">
        <f>H17</f>
        <v>4430136</v>
      </c>
      <c r="I18" s="35"/>
    </row>
    <row r="19" spans="1:13" x14ac:dyDescent="0.2">
      <c r="A19" s="34"/>
      <c r="B19" s="5"/>
      <c r="C19" s="5"/>
      <c r="D19" s="5"/>
      <c r="E19" s="5"/>
      <c r="F19" s="5"/>
      <c r="G19" s="5"/>
      <c r="H19" s="5"/>
      <c r="I19" s="35"/>
    </row>
    <row r="20" spans="1:13" x14ac:dyDescent="0.2">
      <c r="A20" s="31" t="s">
        <v>39</v>
      </c>
      <c r="B20" s="4"/>
      <c r="C20" s="4"/>
      <c r="D20" s="4"/>
      <c r="E20" s="4"/>
      <c r="F20" s="4"/>
      <c r="G20" s="4"/>
      <c r="H20" s="4"/>
      <c r="I20" s="32"/>
      <c r="M20" s="8"/>
    </row>
    <row r="21" spans="1:13" x14ac:dyDescent="0.2">
      <c r="A21" s="33"/>
      <c r="B21" s="7" t="s">
        <v>28</v>
      </c>
      <c r="C21" s="7" t="s">
        <v>29</v>
      </c>
      <c r="D21" s="7" t="s">
        <v>11</v>
      </c>
      <c r="E21" s="7" t="s">
        <v>30</v>
      </c>
      <c r="F21" s="7" t="s">
        <v>32</v>
      </c>
      <c r="G21" s="7" t="s">
        <v>40</v>
      </c>
      <c r="H21" s="7" t="s">
        <v>41</v>
      </c>
      <c r="I21" s="32"/>
    </row>
    <row r="22" spans="1:13" x14ac:dyDescent="0.2">
      <c r="A22" s="33"/>
      <c r="B22" s="17"/>
      <c r="C22" s="68" t="s">
        <v>42</v>
      </c>
      <c r="D22" s="20" t="s">
        <v>36</v>
      </c>
      <c r="E22" s="20">
        <v>1</v>
      </c>
      <c r="F22" s="20">
        <f>H17*0.05</f>
        <v>221506.80000000002</v>
      </c>
      <c r="G22" s="20">
        <v>1</v>
      </c>
      <c r="H22" s="21">
        <f>F22*E22*G22</f>
        <v>221506.80000000002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43</v>
      </c>
      <c r="H23" s="26">
        <f>SUM(H22:H22)</f>
        <v>221506.80000000002</v>
      </c>
      <c r="I23" s="32"/>
      <c r="K23" s="9"/>
    </row>
    <row r="24" spans="1:13" x14ac:dyDescent="0.2">
      <c r="A24" s="33"/>
      <c r="B24" s="13"/>
      <c r="C24" s="14"/>
      <c r="D24" s="15"/>
      <c r="E24" s="15"/>
      <c r="F24" s="15"/>
      <c r="G24" s="29" t="s">
        <v>44</v>
      </c>
      <c r="H24" s="26">
        <f>H23/H8</f>
        <v>36917.800000000003</v>
      </c>
      <c r="I24" s="32"/>
      <c r="K24" s="9"/>
    </row>
    <row r="25" spans="1:13" x14ac:dyDescent="0.2">
      <c r="A25" s="31"/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 t="s">
        <v>45</v>
      </c>
      <c r="B26" s="10"/>
      <c r="C26" s="4"/>
      <c r="D26" s="11"/>
      <c r="E26" s="11"/>
      <c r="F26" s="11"/>
      <c r="G26" s="11"/>
      <c r="H26" s="12"/>
      <c r="I26" s="32"/>
      <c r="K26" s="9"/>
    </row>
    <row r="27" spans="1:13" x14ac:dyDescent="0.2">
      <c r="A27" s="31"/>
      <c r="B27" s="7" t="s">
        <v>28</v>
      </c>
      <c r="C27" s="7" t="s">
        <v>29</v>
      </c>
      <c r="D27" s="7" t="s">
        <v>11</v>
      </c>
      <c r="E27" s="7" t="s">
        <v>30</v>
      </c>
      <c r="F27" s="7" t="s">
        <v>46</v>
      </c>
      <c r="G27" s="7"/>
      <c r="H27" s="7" t="s">
        <v>33</v>
      </c>
      <c r="I27" s="32"/>
    </row>
    <row r="28" spans="1:13" x14ac:dyDescent="0.2">
      <c r="A28" s="31"/>
      <c r="B28" s="17"/>
      <c r="C28" s="68" t="s">
        <v>47</v>
      </c>
      <c r="D28" s="20" t="s">
        <v>48</v>
      </c>
      <c r="E28" s="19">
        <v>0.25</v>
      </c>
      <c r="F28" s="18">
        <v>35000</v>
      </c>
      <c r="G28" s="20"/>
      <c r="H28" s="18">
        <f>E28*F28</f>
        <v>8750</v>
      </c>
      <c r="I28" s="32"/>
    </row>
    <row r="29" spans="1:13" x14ac:dyDescent="0.2">
      <c r="A29" s="31"/>
      <c r="B29" s="17"/>
      <c r="C29" s="68" t="s">
        <v>49</v>
      </c>
      <c r="D29" s="20" t="s">
        <v>48</v>
      </c>
      <c r="E29" s="19">
        <v>1</v>
      </c>
      <c r="F29" s="18">
        <v>27500</v>
      </c>
      <c r="G29" s="61"/>
      <c r="H29" s="18">
        <f t="shared" ref="H29:H30" si="0">E29*F29</f>
        <v>27500</v>
      </c>
      <c r="I29" s="32"/>
    </row>
    <row r="30" spans="1:13" x14ac:dyDescent="0.2">
      <c r="A30" s="31"/>
      <c r="B30" s="17"/>
      <c r="C30" s="68" t="s">
        <v>50</v>
      </c>
      <c r="D30" s="20" t="s">
        <v>48</v>
      </c>
      <c r="E30" s="19">
        <v>1</v>
      </c>
      <c r="F30" s="18">
        <v>25000</v>
      </c>
      <c r="G30" s="61"/>
      <c r="H30" s="18">
        <f t="shared" si="0"/>
        <v>25000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29" t="s">
        <v>51</v>
      </c>
      <c r="H31" s="63">
        <f>SUM(H28:H30)</f>
        <v>61250</v>
      </c>
      <c r="I31" s="32"/>
    </row>
    <row r="32" spans="1:13" x14ac:dyDescent="0.2">
      <c r="A32" s="31"/>
      <c r="B32" s="10"/>
      <c r="C32" s="4"/>
      <c r="D32" s="11"/>
      <c r="E32" s="11"/>
      <c r="F32" s="11"/>
      <c r="G32" s="30"/>
      <c r="H32" s="12"/>
      <c r="I32" s="32"/>
    </row>
    <row r="33" spans="1:9" x14ac:dyDescent="0.2">
      <c r="A33" s="31"/>
      <c r="B33" s="10"/>
      <c r="C33" s="4"/>
      <c r="D33" s="11"/>
      <c r="E33" s="11"/>
      <c r="F33" s="11"/>
      <c r="G33" s="29" t="s">
        <v>52</v>
      </c>
      <c r="H33" s="63">
        <f>H31</f>
        <v>61250</v>
      </c>
      <c r="I33" s="32"/>
    </row>
    <row r="34" spans="1:9" x14ac:dyDescent="0.2">
      <c r="A34" s="31"/>
      <c r="B34" s="10"/>
      <c r="C34" s="4"/>
      <c r="D34" s="11"/>
      <c r="E34" s="64">
        <v>0.56999999999999995</v>
      </c>
      <c r="F34" s="11"/>
      <c r="G34" s="29" t="s">
        <v>53</v>
      </c>
      <c r="H34" s="65">
        <f>H33*E34</f>
        <v>34912.5</v>
      </c>
      <c r="I34" s="32"/>
    </row>
    <row r="35" spans="1:9" x14ac:dyDescent="0.2">
      <c r="A35" s="31"/>
      <c r="B35" s="10"/>
      <c r="C35" s="4"/>
      <c r="D35" s="11"/>
      <c r="E35" s="64">
        <v>0</v>
      </c>
      <c r="F35" s="11"/>
      <c r="G35" s="29" t="s">
        <v>54</v>
      </c>
      <c r="H35" s="63">
        <f>H33*E35</f>
        <v>0</v>
      </c>
      <c r="I35" s="32"/>
    </row>
    <row r="36" spans="1:9" x14ac:dyDescent="0.2">
      <c r="A36" s="31"/>
      <c r="B36" s="10"/>
      <c r="C36" s="4"/>
      <c r="D36" s="11"/>
      <c r="E36" s="11"/>
      <c r="F36" s="11"/>
      <c r="G36" s="30"/>
      <c r="H36" s="12"/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51</v>
      </c>
      <c r="H37" s="63">
        <f>H33+H34+H35</f>
        <v>96162.5</v>
      </c>
      <c r="I37" s="32"/>
    </row>
    <row r="38" spans="1:9" x14ac:dyDescent="0.2">
      <c r="A38" s="31"/>
      <c r="B38" s="10"/>
      <c r="C38" s="4"/>
      <c r="D38" s="11"/>
      <c r="E38" s="11"/>
      <c r="F38" s="11"/>
      <c r="G38" s="29" t="s">
        <v>55</v>
      </c>
      <c r="H38" s="66">
        <f>H37/H8</f>
        <v>16027.083333333334</v>
      </c>
      <c r="I38" s="32"/>
    </row>
    <row r="39" spans="1:9" x14ac:dyDescent="0.2">
      <c r="A39" s="31"/>
      <c r="B39" s="10"/>
      <c r="C39" s="4"/>
      <c r="D39" s="11"/>
      <c r="E39" s="11"/>
      <c r="F39" s="11"/>
      <c r="G39" s="30"/>
      <c r="H39" s="12"/>
      <c r="I39" s="32"/>
    </row>
    <row r="40" spans="1:9" x14ac:dyDescent="0.2">
      <c r="A40" s="31"/>
      <c r="B40" s="10"/>
      <c r="C40" s="4"/>
      <c r="D40" s="11"/>
      <c r="E40" s="11"/>
      <c r="F40" s="11"/>
      <c r="G40" s="29" t="s">
        <v>56</v>
      </c>
      <c r="H40" s="63">
        <f>H18+H24+H38</f>
        <v>4483080.8833333328</v>
      </c>
      <c r="I40" s="32"/>
    </row>
    <row r="41" spans="1:9" x14ac:dyDescent="0.2">
      <c r="A41" s="31"/>
      <c r="B41" s="10"/>
      <c r="C41" s="4"/>
      <c r="D41" s="11"/>
      <c r="E41" s="11"/>
      <c r="F41" s="11"/>
      <c r="G41" s="11"/>
      <c r="H41" s="63"/>
      <c r="I41" s="32"/>
    </row>
    <row r="42" spans="1:9" x14ac:dyDescent="0.2">
      <c r="A42" s="31"/>
      <c r="B42" s="10"/>
      <c r="C42" s="4"/>
      <c r="D42" s="64">
        <v>0</v>
      </c>
      <c r="E42" s="11"/>
      <c r="F42" s="11"/>
      <c r="G42" s="27" t="s">
        <v>57</v>
      </c>
      <c r="H42" s="63">
        <f>D42*H40</f>
        <v>0</v>
      </c>
      <c r="I42" s="32"/>
    </row>
    <row r="43" spans="1:9" x14ac:dyDescent="0.2">
      <c r="A43" s="31"/>
      <c r="B43" s="10"/>
      <c r="C43" s="4"/>
      <c r="D43" s="11"/>
      <c r="E43" s="11"/>
      <c r="F43" s="11"/>
      <c r="G43" s="27" t="s">
        <v>58</v>
      </c>
      <c r="H43" s="63">
        <f>H40+H42</f>
        <v>4483080.8833333328</v>
      </c>
      <c r="I43" s="32"/>
    </row>
    <row r="44" spans="1:9" x14ac:dyDescent="0.2">
      <c r="A44" s="31"/>
      <c r="B44" s="10"/>
      <c r="C44" s="4"/>
      <c r="D44" s="64">
        <v>0</v>
      </c>
      <c r="E44" s="11"/>
      <c r="F44" s="11"/>
      <c r="G44" s="27" t="s">
        <v>59</v>
      </c>
      <c r="H44" s="63">
        <f>D44*H43</f>
        <v>0</v>
      </c>
      <c r="I44" s="32"/>
    </row>
    <row r="45" spans="1:9" x14ac:dyDescent="0.2">
      <c r="A45" s="31"/>
      <c r="B45" s="10"/>
      <c r="C45" s="4"/>
      <c r="D45" s="11"/>
      <c r="E45" s="11"/>
      <c r="F45" s="11"/>
      <c r="G45" s="11"/>
      <c r="H45" s="12"/>
      <c r="I45" s="32"/>
    </row>
    <row r="46" spans="1:9" x14ac:dyDescent="0.2">
      <c r="A46" s="31"/>
      <c r="B46" s="10"/>
      <c r="C46" s="4"/>
      <c r="D46" s="11"/>
      <c r="E46" s="11"/>
      <c r="F46" s="11"/>
      <c r="H46" s="12"/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60</v>
      </c>
      <c r="H47" s="67">
        <f>H43+H44</f>
        <v>4483080.8833333328</v>
      </c>
      <c r="I47" s="32"/>
    </row>
    <row r="48" spans="1:9" x14ac:dyDescent="0.2">
      <c r="A48" s="31"/>
      <c r="B48" s="10"/>
      <c r="C48" s="4"/>
      <c r="D48" s="11"/>
      <c r="E48" s="11"/>
      <c r="F48" s="39"/>
      <c r="G48" s="40" t="s">
        <v>61</v>
      </c>
      <c r="H48" s="67">
        <f>(H18+H24+(H38*H10))</f>
        <v>4478220.3956651716</v>
      </c>
      <c r="I48" s="32"/>
    </row>
    <row r="49" spans="1:9" x14ac:dyDescent="0.2">
      <c r="A49" s="36"/>
      <c r="B49" s="37"/>
      <c r="C49" s="37"/>
      <c r="D49" s="37"/>
      <c r="E49" s="37"/>
      <c r="F49" s="37"/>
      <c r="G49" s="37"/>
      <c r="H49" s="37"/>
      <c r="I49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16DF8F-F5AC-44C0-B0B8-603A8D87E4A8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E030B-3B27-449C-BB63-4BF5D53EB813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22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6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70" t="s">
        <v>77</v>
      </c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4"/>
      <c r="B12" s="70"/>
      <c r="C12" s="54"/>
      <c r="D12" s="54"/>
      <c r="E12" s="54"/>
      <c r="F12" s="54"/>
      <c r="G12" s="54"/>
      <c r="H12" s="54"/>
      <c r="I12" s="35"/>
      <c r="J12" s="6"/>
    </row>
    <row r="13" spans="1:11" x14ac:dyDescent="0.2">
      <c r="A13" s="31" t="s">
        <v>27</v>
      </c>
      <c r="B13" s="4"/>
      <c r="C13" s="4"/>
      <c r="D13" s="4"/>
      <c r="E13" s="4"/>
      <c r="F13" s="4"/>
      <c r="G13" s="4"/>
      <c r="H13" s="4"/>
      <c r="I13" s="35"/>
    </row>
    <row r="14" spans="1:11" x14ac:dyDescent="0.2">
      <c r="A14" s="33"/>
      <c r="B14" s="7" t="s">
        <v>28</v>
      </c>
      <c r="C14" s="7" t="s">
        <v>29</v>
      </c>
      <c r="D14" s="7" t="s">
        <v>11</v>
      </c>
      <c r="E14" s="7" t="s">
        <v>30</v>
      </c>
      <c r="F14" s="7" t="s">
        <v>31</v>
      </c>
      <c r="G14" s="7" t="s">
        <v>32</v>
      </c>
      <c r="H14" s="7" t="s">
        <v>33</v>
      </c>
      <c r="I14" s="35"/>
    </row>
    <row r="15" spans="1:11" x14ac:dyDescent="0.2">
      <c r="A15" s="33"/>
      <c r="B15" s="7"/>
      <c r="C15" s="103" t="s">
        <v>78</v>
      </c>
      <c r="D15" s="96" t="s">
        <v>11</v>
      </c>
      <c r="E15" s="96">
        <v>1</v>
      </c>
      <c r="F15" s="96">
        <v>0</v>
      </c>
      <c r="G15" s="97">
        <f>2500*F9</f>
        <v>2237050</v>
      </c>
      <c r="H15" s="98">
        <f>G15*E15</f>
        <v>2237050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SUM(H15:H15)</f>
        <v>2237050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2237050</v>
      </c>
      <c r="I17" s="35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M19" s="8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</row>
    <row r="21" spans="1:13" x14ac:dyDescent="0.2">
      <c r="A21" s="33"/>
      <c r="B21" s="17"/>
      <c r="C21" s="68" t="s">
        <v>42</v>
      </c>
      <c r="D21" s="20" t="s">
        <v>36</v>
      </c>
      <c r="E21" s="20">
        <v>1</v>
      </c>
      <c r="F21" s="20">
        <f>H16*0.05</f>
        <v>111852.5</v>
      </c>
      <c r="G21" s="20">
        <v>1</v>
      </c>
      <c r="H21" s="21">
        <f>F21*E21*G21</f>
        <v>111852.5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111852.5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18642.083333333332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68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68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68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16027.083333333334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2271719.166666667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2271719.166666667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2271719.166666667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2266858.6789985052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C80831-EEE9-49D0-AE07-A68840E07E9E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5C91A-BC15-4619-A76B-34D727B9C45C}">
  <dimension ref="A1:M49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23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10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141"/>
      <c r="C11" s="141"/>
      <c r="D11" s="5"/>
      <c r="E11" s="5"/>
      <c r="F11" s="5"/>
      <c r="G11" s="5"/>
      <c r="H11" s="5"/>
      <c r="I11" s="35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  <c r="J12" s="6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x14ac:dyDescent="0.2">
      <c r="A14" s="33"/>
      <c r="B14" s="7"/>
      <c r="C14" s="51" t="s">
        <v>79</v>
      </c>
      <c r="D14" s="20" t="s">
        <v>72</v>
      </c>
      <c r="E14" s="52">
        <v>1</v>
      </c>
      <c r="F14" s="52">
        <v>0</v>
      </c>
      <c r="G14" s="62">
        <v>2400</v>
      </c>
      <c r="H14" s="62">
        <f t="shared" ref="H14:H16" si="0">E14*(1+F14)*G14</f>
        <v>2400</v>
      </c>
      <c r="I14" s="35"/>
    </row>
    <row r="15" spans="1:11" x14ac:dyDescent="0.2">
      <c r="A15" s="33"/>
      <c r="B15" s="7"/>
      <c r="C15" s="104" t="s">
        <v>80</v>
      </c>
      <c r="D15" s="105" t="s">
        <v>72</v>
      </c>
      <c r="E15" s="106">
        <v>1</v>
      </c>
      <c r="F15" s="106">
        <v>0</v>
      </c>
      <c r="G15" s="98">
        <v>42500</v>
      </c>
      <c r="H15" s="98">
        <f t="shared" si="0"/>
        <v>42500</v>
      </c>
      <c r="I15" s="35"/>
    </row>
    <row r="16" spans="1:11" x14ac:dyDescent="0.2">
      <c r="A16" s="33"/>
      <c r="B16" s="17"/>
      <c r="C16" s="104" t="s">
        <v>81</v>
      </c>
      <c r="D16" s="105" t="s">
        <v>72</v>
      </c>
      <c r="E16" s="106">
        <v>1</v>
      </c>
      <c r="F16" s="106">
        <v>0</v>
      </c>
      <c r="G16" s="98">
        <v>44025</v>
      </c>
      <c r="H16" s="98">
        <f t="shared" si="0"/>
        <v>44025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37</v>
      </c>
      <c r="H17" s="16">
        <f>SUM(H14:H16)</f>
        <v>88925</v>
      </c>
      <c r="I17" s="35"/>
    </row>
    <row r="18" spans="1:13" x14ac:dyDescent="0.2">
      <c r="A18" s="33"/>
      <c r="B18" s="13"/>
      <c r="C18" s="14"/>
      <c r="D18" s="25"/>
      <c r="E18" s="25"/>
      <c r="F18" s="25"/>
      <c r="G18" s="28" t="s">
        <v>38</v>
      </c>
      <c r="H18" s="16">
        <f>H17</f>
        <v>88925</v>
      </c>
      <c r="I18" s="35"/>
    </row>
    <row r="19" spans="1:13" x14ac:dyDescent="0.2">
      <c r="A19" s="34"/>
      <c r="B19" s="5"/>
      <c r="C19" s="5"/>
      <c r="D19" s="5"/>
      <c r="E19" s="5"/>
      <c r="F19" s="5"/>
      <c r="G19" s="5"/>
      <c r="H19" s="5"/>
      <c r="I19" s="35"/>
    </row>
    <row r="20" spans="1:13" x14ac:dyDescent="0.2">
      <c r="A20" s="31" t="s">
        <v>39</v>
      </c>
      <c r="B20" s="4"/>
      <c r="C20" s="4"/>
      <c r="D20" s="4"/>
      <c r="E20" s="4"/>
      <c r="F20" s="4"/>
      <c r="G20" s="4"/>
      <c r="H20" s="4"/>
      <c r="I20" s="32"/>
      <c r="M20" s="8"/>
    </row>
    <row r="21" spans="1:13" x14ac:dyDescent="0.2">
      <c r="A21" s="33"/>
      <c r="B21" s="7" t="s">
        <v>28</v>
      </c>
      <c r="C21" s="7" t="s">
        <v>29</v>
      </c>
      <c r="D21" s="7" t="s">
        <v>11</v>
      </c>
      <c r="E21" s="7" t="s">
        <v>30</v>
      </c>
      <c r="F21" s="7" t="s">
        <v>32</v>
      </c>
      <c r="G21" s="7" t="s">
        <v>40</v>
      </c>
      <c r="H21" s="7" t="s">
        <v>41</v>
      </c>
      <c r="I21" s="32"/>
    </row>
    <row r="22" spans="1:13" x14ac:dyDescent="0.2">
      <c r="A22" s="33"/>
      <c r="B22" s="17"/>
      <c r="C22" s="51" t="s">
        <v>82</v>
      </c>
      <c r="D22" s="20" t="s">
        <v>83</v>
      </c>
      <c r="E22" s="20">
        <v>1</v>
      </c>
      <c r="F22" s="20">
        <f>0.05*H18</f>
        <v>4446.25</v>
      </c>
      <c r="G22" s="20"/>
      <c r="H22" s="21">
        <f>E22*F22</f>
        <v>4446.25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43</v>
      </c>
      <c r="H23" s="26">
        <f>SUM(H22)</f>
        <v>4446.25</v>
      </c>
      <c r="I23" s="32"/>
      <c r="K23" s="9"/>
    </row>
    <row r="24" spans="1:13" x14ac:dyDescent="0.2">
      <c r="A24" s="33"/>
      <c r="B24" s="13"/>
      <c r="C24" s="14"/>
      <c r="D24" s="15"/>
      <c r="E24" s="15"/>
      <c r="F24" s="15"/>
      <c r="G24" s="29" t="s">
        <v>44</v>
      </c>
      <c r="H24" s="26">
        <f>H23/$H$8</f>
        <v>444.625</v>
      </c>
      <c r="I24" s="32"/>
      <c r="K24" s="9"/>
    </row>
    <row r="25" spans="1:13" x14ac:dyDescent="0.2">
      <c r="A25" s="31"/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 t="s">
        <v>45</v>
      </c>
      <c r="B26" s="10"/>
      <c r="C26" s="4"/>
      <c r="D26" s="11"/>
      <c r="E26" s="11"/>
      <c r="F26" s="11"/>
      <c r="G26" s="11"/>
      <c r="H26" s="12"/>
      <c r="I26" s="32"/>
      <c r="K26" s="9"/>
    </row>
    <row r="27" spans="1:13" x14ac:dyDescent="0.2">
      <c r="A27" s="31"/>
      <c r="B27" s="7" t="s">
        <v>28</v>
      </c>
      <c r="C27" s="7" t="s">
        <v>29</v>
      </c>
      <c r="D27" s="7" t="s">
        <v>11</v>
      </c>
      <c r="E27" s="7" t="s">
        <v>30</v>
      </c>
      <c r="F27" s="7" t="s">
        <v>46</v>
      </c>
      <c r="G27" s="7"/>
      <c r="H27" s="7" t="s">
        <v>41</v>
      </c>
      <c r="I27" s="32"/>
    </row>
    <row r="28" spans="1:13" x14ac:dyDescent="0.2">
      <c r="A28" s="31"/>
      <c r="B28" s="7"/>
      <c r="C28" s="51" t="s">
        <v>84</v>
      </c>
      <c r="D28" s="20" t="s">
        <v>85</v>
      </c>
      <c r="E28" s="52">
        <v>0.25</v>
      </c>
      <c r="F28" s="71">
        <v>40000</v>
      </c>
      <c r="G28" s="7"/>
      <c r="H28" s="72">
        <f>E28*F28</f>
        <v>10000</v>
      </c>
      <c r="I28" s="32"/>
    </row>
    <row r="29" spans="1:13" x14ac:dyDescent="0.2">
      <c r="A29" s="31"/>
      <c r="B29" s="17"/>
      <c r="C29" s="51" t="s">
        <v>86</v>
      </c>
      <c r="D29" s="20" t="s">
        <v>85</v>
      </c>
      <c r="E29" s="52">
        <v>1</v>
      </c>
      <c r="F29" s="71">
        <v>35000</v>
      </c>
      <c r="G29" s="20"/>
      <c r="H29" s="72">
        <f t="shared" ref="H29:H30" si="1">E29*F29</f>
        <v>35000</v>
      </c>
      <c r="I29" s="32"/>
    </row>
    <row r="30" spans="1:13" x14ac:dyDescent="0.2">
      <c r="A30" s="31"/>
      <c r="B30" s="17"/>
      <c r="C30" s="51" t="s">
        <v>50</v>
      </c>
      <c r="D30" s="20" t="s">
        <v>85</v>
      </c>
      <c r="E30" s="52">
        <v>2</v>
      </c>
      <c r="F30" s="18">
        <v>25000</v>
      </c>
      <c r="G30" s="20"/>
      <c r="H30" s="72">
        <f t="shared" si="1"/>
        <v>50000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29" t="s">
        <v>51</v>
      </c>
      <c r="H31" s="73">
        <f>SUM(H28:H30)</f>
        <v>95000</v>
      </c>
      <c r="I31" s="32"/>
    </row>
    <row r="32" spans="1:13" x14ac:dyDescent="0.2">
      <c r="A32" s="31"/>
      <c r="B32" s="10"/>
      <c r="C32" s="4"/>
      <c r="D32" s="11"/>
      <c r="E32" s="11"/>
      <c r="F32" s="11"/>
      <c r="G32" s="30"/>
      <c r="H32" s="12"/>
      <c r="I32" s="32"/>
    </row>
    <row r="33" spans="1:9" x14ac:dyDescent="0.2">
      <c r="A33" s="31"/>
      <c r="B33" s="10"/>
      <c r="C33" s="4"/>
      <c r="D33" s="11"/>
      <c r="E33" s="11"/>
      <c r="F33" s="11"/>
      <c r="G33" s="29" t="s">
        <v>52</v>
      </c>
      <c r="H33" s="63">
        <f>H31</f>
        <v>95000</v>
      </c>
      <c r="I33" s="32"/>
    </row>
    <row r="34" spans="1:9" x14ac:dyDescent="0.2">
      <c r="A34" s="31"/>
      <c r="B34" s="10"/>
      <c r="C34" s="4"/>
      <c r="D34" s="11"/>
      <c r="E34" s="64">
        <v>0.56999999999999995</v>
      </c>
      <c r="F34" s="11"/>
      <c r="G34" s="29" t="s">
        <v>53</v>
      </c>
      <c r="H34" s="65">
        <f>H33*E34</f>
        <v>54149.999999999993</v>
      </c>
      <c r="I34" s="32"/>
    </row>
    <row r="35" spans="1:9" x14ac:dyDescent="0.2">
      <c r="A35" s="31"/>
      <c r="B35" s="10"/>
      <c r="C35" s="4"/>
      <c r="D35" s="11"/>
      <c r="E35" s="64">
        <v>0</v>
      </c>
      <c r="F35" s="11"/>
      <c r="G35" s="29" t="s">
        <v>54</v>
      </c>
      <c r="H35" s="63">
        <f>H33*E35</f>
        <v>0</v>
      </c>
      <c r="I35" s="32"/>
    </row>
    <row r="36" spans="1:9" x14ac:dyDescent="0.2">
      <c r="A36" s="31"/>
      <c r="B36" s="10"/>
      <c r="C36" s="4"/>
      <c r="D36" s="11"/>
      <c r="E36" s="11"/>
      <c r="F36" s="11"/>
      <c r="G36" s="30"/>
      <c r="H36" s="12"/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51</v>
      </c>
      <c r="H37" s="63">
        <f>H33+H34+H35</f>
        <v>149150</v>
      </c>
      <c r="I37" s="32"/>
    </row>
    <row r="38" spans="1:9" x14ac:dyDescent="0.2">
      <c r="A38" s="31"/>
      <c r="B38" s="10"/>
      <c r="C38" s="4"/>
      <c r="D38" s="11"/>
      <c r="E38" s="11"/>
      <c r="F38" s="11"/>
      <c r="G38" s="29" t="s">
        <v>55</v>
      </c>
      <c r="H38" s="66">
        <f>H37/$H$8</f>
        <v>14915</v>
      </c>
      <c r="I38" s="32"/>
    </row>
    <row r="39" spans="1:9" x14ac:dyDescent="0.2">
      <c r="A39" s="31"/>
      <c r="B39" s="10"/>
      <c r="C39" s="4"/>
      <c r="D39" s="11"/>
      <c r="E39" s="11"/>
      <c r="F39" s="11"/>
      <c r="G39" s="30"/>
      <c r="H39" s="12"/>
      <c r="I39" s="32"/>
    </row>
    <row r="40" spans="1:9" x14ac:dyDescent="0.2">
      <c r="A40" s="31"/>
      <c r="B40" s="10"/>
      <c r="C40" s="4"/>
      <c r="D40" s="11"/>
      <c r="E40" s="11"/>
      <c r="F40" s="11"/>
      <c r="G40" s="29" t="s">
        <v>56</v>
      </c>
      <c r="H40" s="63">
        <f>H18+H24+H38</f>
        <v>104284.625</v>
      </c>
      <c r="I40" s="32"/>
    </row>
    <row r="41" spans="1:9" x14ac:dyDescent="0.2">
      <c r="A41" s="31"/>
      <c r="B41" s="10"/>
      <c r="C41" s="4"/>
      <c r="D41" s="11"/>
      <c r="E41" s="11"/>
      <c r="F41" s="11"/>
      <c r="G41" s="11"/>
      <c r="H41" s="63"/>
      <c r="I41" s="32"/>
    </row>
    <row r="42" spans="1:9" x14ac:dyDescent="0.2">
      <c r="A42" s="31"/>
      <c r="B42" s="10"/>
      <c r="C42" s="4"/>
      <c r="D42" s="64">
        <v>0</v>
      </c>
      <c r="E42" s="11"/>
      <c r="F42" s="11"/>
      <c r="G42" s="27" t="s">
        <v>57</v>
      </c>
      <c r="H42" s="63">
        <f>D42*H40</f>
        <v>0</v>
      </c>
      <c r="I42" s="32"/>
    </row>
    <row r="43" spans="1:9" x14ac:dyDescent="0.2">
      <c r="A43" s="31"/>
      <c r="B43" s="10"/>
      <c r="C43" s="4"/>
      <c r="D43" s="11"/>
      <c r="E43" s="11"/>
      <c r="F43" s="11"/>
      <c r="G43" s="27" t="s">
        <v>58</v>
      </c>
      <c r="H43" s="63">
        <f>H40+H42</f>
        <v>104284.625</v>
      </c>
      <c r="I43" s="32"/>
    </row>
    <row r="44" spans="1:9" x14ac:dyDescent="0.2">
      <c r="A44" s="31"/>
      <c r="B44" s="10"/>
      <c r="C44" s="4"/>
      <c r="D44" s="64">
        <v>0</v>
      </c>
      <c r="E44" s="11"/>
      <c r="F44" s="11"/>
      <c r="G44" s="27" t="s">
        <v>59</v>
      </c>
      <c r="H44" s="63">
        <f>D44*H43</f>
        <v>0</v>
      </c>
      <c r="I44" s="32"/>
    </row>
    <row r="45" spans="1:9" x14ac:dyDescent="0.2">
      <c r="A45" s="31"/>
      <c r="B45" s="10"/>
      <c r="C45" s="4"/>
      <c r="D45" s="11"/>
      <c r="E45" s="11"/>
      <c r="F45" s="11"/>
      <c r="G45" s="11"/>
      <c r="H45" s="12"/>
      <c r="I45" s="32"/>
    </row>
    <row r="46" spans="1:9" x14ac:dyDescent="0.2">
      <c r="A46" s="31"/>
      <c r="B46" s="10"/>
      <c r="C46" s="4"/>
      <c r="D46" s="11"/>
      <c r="E46" s="11"/>
      <c r="F46" s="11"/>
      <c r="H46" s="12"/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60</v>
      </c>
      <c r="H47" s="67">
        <f>H43+H44</f>
        <v>104284.625</v>
      </c>
      <c r="I47" s="32"/>
    </row>
    <row r="48" spans="1:9" x14ac:dyDescent="0.2">
      <c r="A48" s="31"/>
      <c r="B48" s="10"/>
      <c r="C48" s="4"/>
      <c r="D48" s="11"/>
      <c r="E48" s="11"/>
      <c r="F48" s="39"/>
      <c r="G48" s="40" t="s">
        <v>61</v>
      </c>
      <c r="H48" s="67">
        <f>(H18+H24+(H38*H10))</f>
        <v>99761.395659833433</v>
      </c>
      <c r="I48" s="32"/>
    </row>
    <row r="49" spans="1:9" x14ac:dyDescent="0.2">
      <c r="A49" s="36"/>
      <c r="B49" s="37"/>
      <c r="C49" s="37"/>
      <c r="D49" s="37"/>
      <c r="E49" s="37"/>
      <c r="F49" s="37"/>
      <c r="G49" s="37"/>
      <c r="H49" s="37"/>
      <c r="I49" s="38"/>
    </row>
  </sheetData>
  <mergeCells count="2">
    <mergeCell ref="A7:I7"/>
    <mergeCell ref="B11:C11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D03107-F56E-463E-B921-D0D174A77330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731EF-C3DC-465B-A00B-61A185C08616}">
  <dimension ref="B2:G20"/>
  <sheetViews>
    <sheetView workbookViewId="0">
      <selection activeCell="B2" sqref="B2"/>
    </sheetView>
  </sheetViews>
  <sheetFormatPr baseColWidth="10" defaultColWidth="11.42578125" defaultRowHeight="15" x14ac:dyDescent="0.25"/>
  <cols>
    <col min="1" max="1" width="3.28515625" customWidth="1"/>
    <col min="3" max="3" width="16.7109375" bestFit="1" customWidth="1"/>
  </cols>
  <sheetData>
    <row r="2" spans="2:7" x14ac:dyDescent="0.25">
      <c r="B2" s="74" t="s">
        <v>87</v>
      </c>
      <c r="C2" s="74" t="s">
        <v>5</v>
      </c>
      <c r="D2" s="74" t="s">
        <v>88</v>
      </c>
      <c r="E2" s="74" t="s">
        <v>7</v>
      </c>
      <c r="G2" s="75" t="s">
        <v>89</v>
      </c>
    </row>
    <row r="3" spans="2:7" x14ac:dyDescent="0.25">
      <c r="B3" s="76" t="s">
        <v>90</v>
      </c>
      <c r="C3" s="77" t="s">
        <v>91</v>
      </c>
      <c r="D3" s="78">
        <v>582.6</v>
      </c>
      <c r="E3" s="79">
        <f>D3/$D$9</f>
        <v>0.74644458680333126</v>
      </c>
    </row>
    <row r="4" spans="2:7" x14ac:dyDescent="0.25">
      <c r="B4" s="76" t="s">
        <v>92</v>
      </c>
      <c r="C4" s="77" t="s">
        <v>93</v>
      </c>
      <c r="D4" s="78">
        <v>672.1</v>
      </c>
      <c r="E4" s="79">
        <f t="shared" ref="E4:E17" si="0">D4/$D$9</f>
        <v>0.86111467008328002</v>
      </c>
    </row>
    <row r="5" spans="2:7" x14ac:dyDescent="0.25">
      <c r="B5" s="76" t="s">
        <v>94</v>
      </c>
      <c r="C5" s="77" t="s">
        <v>95</v>
      </c>
      <c r="D5" s="78">
        <v>765.3</v>
      </c>
      <c r="E5" s="79">
        <f t="shared" si="0"/>
        <v>0.98052530429212037</v>
      </c>
    </row>
    <row r="6" spans="2:7" x14ac:dyDescent="0.25">
      <c r="B6" s="76" t="s">
        <v>96</v>
      </c>
      <c r="C6" s="77" t="s">
        <v>97</v>
      </c>
      <c r="D6" s="78">
        <v>649.9</v>
      </c>
      <c r="E6" s="79">
        <f>D6/$D$9</f>
        <v>0.83267136450992951</v>
      </c>
    </row>
    <row r="7" spans="2:7" x14ac:dyDescent="0.25">
      <c r="B7" s="76" t="s">
        <v>98</v>
      </c>
      <c r="C7" s="77" t="s">
        <v>99</v>
      </c>
      <c r="D7" s="78">
        <v>603.1</v>
      </c>
      <c r="E7" s="79">
        <f t="shared" si="0"/>
        <v>0.77270980140935297</v>
      </c>
    </row>
    <row r="8" spans="2:7" x14ac:dyDescent="0.25">
      <c r="B8" s="76" t="s">
        <v>100</v>
      </c>
      <c r="C8" s="77" t="s">
        <v>101</v>
      </c>
      <c r="D8" s="78">
        <v>601.4</v>
      </c>
      <c r="E8" s="79">
        <f t="shared" si="0"/>
        <v>0.77053171044202429</v>
      </c>
    </row>
    <row r="9" spans="2:7" x14ac:dyDescent="0.25">
      <c r="B9" s="80" t="s">
        <v>102</v>
      </c>
      <c r="C9" s="81" t="s">
        <v>6</v>
      </c>
      <c r="D9" s="82">
        <v>780.5</v>
      </c>
      <c r="E9" s="83">
        <f t="shared" si="0"/>
        <v>1</v>
      </c>
    </row>
    <row r="10" spans="2:7" x14ac:dyDescent="0.25">
      <c r="B10" s="84" t="s">
        <v>103</v>
      </c>
      <c r="C10" s="85" t="s">
        <v>104</v>
      </c>
      <c r="D10" s="86">
        <v>567.70000000000005</v>
      </c>
      <c r="E10" s="87">
        <f t="shared" si="0"/>
        <v>0.72735426008968618</v>
      </c>
    </row>
    <row r="11" spans="2:7" x14ac:dyDescent="0.25">
      <c r="B11" s="84" t="s">
        <v>105</v>
      </c>
      <c r="C11" s="85" t="s">
        <v>106</v>
      </c>
      <c r="D11" s="86">
        <v>534.29999999999995</v>
      </c>
      <c r="E11" s="87">
        <f>D11/$D$9</f>
        <v>0.68456117873158229</v>
      </c>
    </row>
    <row r="12" spans="2:7" x14ac:dyDescent="0.25">
      <c r="B12" s="84" t="s">
        <v>107</v>
      </c>
      <c r="C12" s="85" t="s">
        <v>108</v>
      </c>
      <c r="D12" s="86">
        <v>543.79999999999995</v>
      </c>
      <c r="E12" s="87">
        <f>D12/$D$9</f>
        <v>0.69673286354900699</v>
      </c>
    </row>
    <row r="13" spans="2:7" x14ac:dyDescent="0.25">
      <c r="B13" s="84" t="s">
        <v>109</v>
      </c>
      <c r="C13" s="85" t="s">
        <v>110</v>
      </c>
      <c r="D13" s="86">
        <v>574.9</v>
      </c>
      <c r="E13" s="87">
        <f>D13/$D$9</f>
        <v>0.7365791159513132</v>
      </c>
    </row>
    <row r="14" spans="2:7" x14ac:dyDescent="0.25">
      <c r="B14" s="88" t="s">
        <v>111</v>
      </c>
      <c r="C14" s="89" t="s">
        <v>112</v>
      </c>
      <c r="D14" s="90">
        <v>533.9</v>
      </c>
      <c r="E14" s="91">
        <f t="shared" si="0"/>
        <v>0.68404868673926966</v>
      </c>
    </row>
    <row r="15" spans="2:7" x14ac:dyDescent="0.25">
      <c r="B15" s="88" t="s">
        <v>113</v>
      </c>
      <c r="C15" s="89" t="s">
        <v>114</v>
      </c>
      <c r="D15" s="90">
        <v>576.4</v>
      </c>
      <c r="E15" s="91">
        <f t="shared" si="0"/>
        <v>0.73850096092248552</v>
      </c>
    </row>
    <row r="16" spans="2:7" x14ac:dyDescent="0.25">
      <c r="B16" s="88" t="s">
        <v>115</v>
      </c>
      <c r="C16" s="89" t="s">
        <v>116</v>
      </c>
      <c r="D16" s="90">
        <v>552.4</v>
      </c>
      <c r="E16" s="91">
        <f t="shared" si="0"/>
        <v>0.70775144138372836</v>
      </c>
    </row>
    <row r="17" spans="2:5" x14ac:dyDescent="0.25">
      <c r="B17" s="80" t="s">
        <v>117</v>
      </c>
      <c r="C17" s="81" t="s">
        <v>118</v>
      </c>
      <c r="D17" s="92">
        <v>749</v>
      </c>
      <c r="E17" s="83">
        <f t="shared" si="0"/>
        <v>0.95964125560538116</v>
      </c>
    </row>
    <row r="18" spans="2:5" x14ac:dyDescent="0.25">
      <c r="B18" s="80" t="s">
        <v>119</v>
      </c>
      <c r="C18" s="81" t="s">
        <v>120</v>
      </c>
      <c r="D18" s="82">
        <v>844.3</v>
      </c>
      <c r="E18" s="83">
        <f>D18/$D$9</f>
        <v>1.0817424727738629</v>
      </c>
    </row>
    <row r="20" spans="2:5" x14ac:dyDescent="0.25">
      <c r="E20" s="9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9FCB-8567-4C43-821F-C8B89B0EAFF8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14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3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70"/>
      <c r="C11" s="54"/>
      <c r="D11" s="54"/>
      <c r="E11" s="54"/>
      <c r="F11" s="54"/>
      <c r="G11" s="54"/>
      <c r="H11" s="54"/>
      <c r="I11" s="35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x14ac:dyDescent="0.2">
      <c r="A14" s="33"/>
      <c r="B14" s="7"/>
      <c r="C14" s="95" t="s">
        <v>34</v>
      </c>
      <c r="D14" s="96" t="s">
        <v>11</v>
      </c>
      <c r="E14" s="96">
        <v>1</v>
      </c>
      <c r="F14" s="96">
        <v>0</v>
      </c>
      <c r="G14" s="97">
        <f>1900*F9</f>
        <v>1700158</v>
      </c>
      <c r="H14" s="98">
        <f>G14*E14</f>
        <v>1700158</v>
      </c>
      <c r="I14" s="35"/>
    </row>
    <row r="15" spans="1:11" x14ac:dyDescent="0.2">
      <c r="A15" s="33"/>
      <c r="B15" s="7"/>
      <c r="C15" s="59" t="s">
        <v>35</v>
      </c>
      <c r="D15" s="60" t="s">
        <v>36</v>
      </c>
      <c r="E15" s="60">
        <v>1</v>
      </c>
      <c r="F15" s="60">
        <v>0</v>
      </c>
      <c r="G15" s="61">
        <f>H14*0.05</f>
        <v>85007.900000000009</v>
      </c>
      <c r="H15" s="61">
        <f>G15*E15</f>
        <v>85007.900000000009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SUM(H14:H15)</f>
        <v>1785165.9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1785165.9</v>
      </c>
      <c r="I17" s="35"/>
      <c r="M17" s="8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K19" s="9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  <c r="K20" s="9"/>
    </row>
    <row r="21" spans="1:13" x14ac:dyDescent="0.2">
      <c r="A21" s="33"/>
      <c r="B21" s="17"/>
      <c r="C21" s="59" t="s">
        <v>42</v>
      </c>
      <c r="D21" s="20" t="s">
        <v>36</v>
      </c>
      <c r="E21" s="20">
        <v>1</v>
      </c>
      <c r="F21" s="20">
        <f>H16*0.01</f>
        <v>17851.659</v>
      </c>
      <c r="G21" s="20">
        <v>1</v>
      </c>
      <c r="H21" s="21">
        <f>F21*E21*G21</f>
        <v>17851.659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17851.659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5950.5529999999999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59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59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59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32054.166666666668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1823170.6196666667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1823170.6196666667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1823170.6196666667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1813449.6443303437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C31D-EC8F-44C5-A76D-C239535D4AC1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8" t="s">
        <v>123</v>
      </c>
      <c r="B7" s="139"/>
      <c r="C7" s="139"/>
      <c r="D7" s="139"/>
      <c r="E7" s="139"/>
      <c r="F7" s="139"/>
      <c r="G7" s="139"/>
      <c r="H7" s="139"/>
      <c r="I7" s="140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3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53"/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x14ac:dyDescent="0.2">
      <c r="A14" s="33"/>
      <c r="B14" s="7"/>
      <c r="C14" s="95" t="s">
        <v>62</v>
      </c>
      <c r="D14" s="96" t="s">
        <v>11</v>
      </c>
      <c r="E14" s="96">
        <v>1</v>
      </c>
      <c r="F14" s="96">
        <v>0</v>
      </c>
      <c r="G14" s="97">
        <f>380*F9</f>
        <v>340031.60000000003</v>
      </c>
      <c r="H14" s="98">
        <f>G14*E14</f>
        <v>340031.60000000003</v>
      </c>
      <c r="I14" s="35"/>
    </row>
    <row r="15" spans="1:11" x14ac:dyDescent="0.2">
      <c r="A15" s="33"/>
      <c r="B15" s="7"/>
      <c r="C15" s="59" t="s">
        <v>35</v>
      </c>
      <c r="D15" s="60" t="s">
        <v>36</v>
      </c>
      <c r="E15" s="60">
        <v>1</v>
      </c>
      <c r="F15" s="60">
        <v>0</v>
      </c>
      <c r="G15" s="61">
        <f>H14*0.05</f>
        <v>17001.580000000002</v>
      </c>
      <c r="H15" s="61">
        <f>G15*E15</f>
        <v>17001.580000000002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SUM(H14:H15)</f>
        <v>357033.18000000005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357033.18000000005</v>
      </c>
      <c r="I17" s="35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M19" s="8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</row>
    <row r="21" spans="1:13" x14ac:dyDescent="0.2">
      <c r="A21" s="33"/>
      <c r="B21" s="17"/>
      <c r="C21" s="59" t="s">
        <v>42</v>
      </c>
      <c r="D21" s="20" t="s">
        <v>36</v>
      </c>
      <c r="E21" s="20">
        <v>1</v>
      </c>
      <c r="F21" s="20">
        <f>H16*0.01</f>
        <v>3570.3318000000004</v>
      </c>
      <c r="G21" s="20">
        <v>1</v>
      </c>
      <c r="H21" s="21">
        <f>F21*E21*G21</f>
        <v>3570.3318000000004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3570.3318000000004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1190.1106000000002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59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59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59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32054.166666666668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390277.45726666675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390277.45726666675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390277.45726666675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380556.48193034384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82FCD3A-57A4-4E7C-B8E4-D7362D3094AA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3C6D-9505-4649-A0B5-20AA01E36B37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15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3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53"/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ht="22.5" x14ac:dyDescent="0.2">
      <c r="A14" s="33"/>
      <c r="B14" s="7"/>
      <c r="C14" s="99" t="s">
        <v>63</v>
      </c>
      <c r="D14" s="100" t="s">
        <v>11</v>
      </c>
      <c r="E14" s="100">
        <v>1</v>
      </c>
      <c r="F14" s="100">
        <v>0</v>
      </c>
      <c r="G14" s="101">
        <f>1150*F9</f>
        <v>1029043</v>
      </c>
      <c r="H14" s="102">
        <f>G14*E14</f>
        <v>1029043</v>
      </c>
      <c r="I14" s="35"/>
    </row>
    <row r="15" spans="1:11" x14ac:dyDescent="0.2">
      <c r="A15" s="33"/>
      <c r="B15" s="7"/>
      <c r="C15" s="59" t="s">
        <v>35</v>
      </c>
      <c r="D15" s="60" t="s">
        <v>36</v>
      </c>
      <c r="E15" s="60">
        <v>1</v>
      </c>
      <c r="F15" s="60">
        <v>0</v>
      </c>
      <c r="G15" s="61">
        <f>H14*0.05</f>
        <v>51452.15</v>
      </c>
      <c r="H15" s="61">
        <f>G15*E15</f>
        <v>51452.15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SUM(H14:H15)</f>
        <v>1080495.1499999999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1080495.1499999999</v>
      </c>
      <c r="I17" s="35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M19" s="8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</row>
    <row r="21" spans="1:13" x14ac:dyDescent="0.2">
      <c r="A21" s="33"/>
      <c r="B21" s="17"/>
      <c r="C21" s="59" t="s">
        <v>42</v>
      </c>
      <c r="D21" s="20" t="s">
        <v>36</v>
      </c>
      <c r="E21" s="20">
        <v>1</v>
      </c>
      <c r="F21" s="20">
        <f>H16*0.01</f>
        <v>10804.951499999999</v>
      </c>
      <c r="G21" s="20">
        <v>1</v>
      </c>
      <c r="H21" s="21">
        <f>F21*E21*G21</f>
        <v>10804.951499999999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10804.951499999999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3601.6504999999997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59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59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59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32054.166666666668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1116150.9671666666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1116150.9671666666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1116150.9671666666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1106429.9918303436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4A576C2-6C93-4D3D-AFCE-2229651463A0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5D958-1120-4224-A576-A347FC70148B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16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121</v>
      </c>
      <c r="G8" s="22" t="s">
        <v>26</v>
      </c>
      <c r="H8" s="24">
        <v>3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53"/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x14ac:dyDescent="0.2">
      <c r="A14" s="33"/>
      <c r="B14" s="7"/>
      <c r="C14" s="95" t="s">
        <v>122</v>
      </c>
      <c r="D14" s="96" t="s">
        <v>11</v>
      </c>
      <c r="E14" s="96">
        <v>1</v>
      </c>
      <c r="F14" s="96">
        <v>0</v>
      </c>
      <c r="G14" s="97">
        <f>600*F9</f>
        <v>536892</v>
      </c>
      <c r="H14" s="98">
        <f>G14*E14</f>
        <v>536892</v>
      </c>
      <c r="I14" s="35"/>
    </row>
    <row r="15" spans="1:11" x14ac:dyDescent="0.2">
      <c r="A15" s="33"/>
      <c r="B15" s="7"/>
      <c r="C15" s="59" t="s">
        <v>35</v>
      </c>
      <c r="D15" s="60" t="s">
        <v>36</v>
      </c>
      <c r="E15" s="60">
        <v>1</v>
      </c>
      <c r="F15" s="60">
        <v>0</v>
      </c>
      <c r="G15" s="61">
        <f>H14*0.05</f>
        <v>26844.600000000002</v>
      </c>
      <c r="H15" s="61">
        <f>G15*E15</f>
        <v>26844.600000000002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SUM(H14:H15)</f>
        <v>563736.6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563736.6</v>
      </c>
      <c r="I17" s="35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M19" s="8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</row>
    <row r="21" spans="1:13" x14ac:dyDescent="0.2">
      <c r="A21" s="33"/>
      <c r="B21" s="17"/>
      <c r="C21" s="59" t="s">
        <v>42</v>
      </c>
      <c r="D21" s="20" t="s">
        <v>36</v>
      </c>
      <c r="E21" s="20">
        <v>1</v>
      </c>
      <c r="F21" s="20">
        <f>H16*0.01</f>
        <v>5637.366</v>
      </c>
      <c r="G21" s="20">
        <v>1</v>
      </c>
      <c r="H21" s="21">
        <f>F21*E21*G21</f>
        <v>5637.366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5637.366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1879.1220000000001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59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59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59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32054.166666666668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597669.88866666658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597669.88866666658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597669.88866666658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587948.91333034378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4C8C9D-F915-48BE-B5A6-33CBDECCA348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FF8B6-3489-48B8-BB07-74B89DB209C5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17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121</v>
      </c>
      <c r="G8" s="22" t="s">
        <v>26</v>
      </c>
      <c r="H8" s="24">
        <v>3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53"/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ht="22.5" x14ac:dyDescent="0.2">
      <c r="A14" s="33"/>
      <c r="B14" s="7"/>
      <c r="C14" s="103" t="s">
        <v>64</v>
      </c>
      <c r="D14" s="96" t="s">
        <v>11</v>
      </c>
      <c r="E14" s="96">
        <v>1</v>
      </c>
      <c r="F14" s="96">
        <v>0</v>
      </c>
      <c r="G14" s="97">
        <f>1090*F9</f>
        <v>975353.8</v>
      </c>
      <c r="H14" s="98">
        <f>G14*E14</f>
        <v>975353.8</v>
      </c>
      <c r="I14" s="35"/>
    </row>
    <row r="15" spans="1:11" x14ac:dyDescent="0.2">
      <c r="A15" s="33"/>
      <c r="B15" s="7"/>
      <c r="C15" s="59" t="s">
        <v>35</v>
      </c>
      <c r="D15" s="60" t="s">
        <v>36</v>
      </c>
      <c r="E15" s="60">
        <v>1</v>
      </c>
      <c r="F15" s="60">
        <v>0</v>
      </c>
      <c r="G15" s="61">
        <f>H14*0.05</f>
        <v>48767.69</v>
      </c>
      <c r="H15" s="61">
        <f>G15*E15</f>
        <v>48767.69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SUM(H14:H15)</f>
        <v>1024121.49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1024121.49</v>
      </c>
      <c r="I17" s="35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M19" s="8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</row>
    <row r="21" spans="1:13" x14ac:dyDescent="0.2">
      <c r="A21" s="33"/>
      <c r="B21" s="17"/>
      <c r="C21" s="59" t="s">
        <v>42</v>
      </c>
      <c r="D21" s="20" t="s">
        <v>36</v>
      </c>
      <c r="E21" s="20">
        <v>1</v>
      </c>
      <c r="F21" s="20">
        <f>H16*0.01</f>
        <v>10241.214900000001</v>
      </c>
      <c r="G21" s="20">
        <v>1</v>
      </c>
      <c r="H21" s="21">
        <f>F21*E21*G21</f>
        <v>10241.214900000001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10241.214900000001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3413.7383000000004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59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59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59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32054.166666666668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1059589.3949666666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1059589.3949666666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1059589.3949666666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1049868.4196303438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3B7464-5F9D-4006-AB28-769B224994B0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CCEB1-E1DC-4A6C-A097-D98A5EC5EC81}">
  <dimension ref="A1:M47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18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65</v>
      </c>
      <c r="G8" s="22" t="s">
        <v>26</v>
      </c>
      <c r="H8" s="24">
        <v>100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53"/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1" t="s">
        <v>27</v>
      </c>
      <c r="B12" s="4"/>
      <c r="C12" s="4"/>
      <c r="D12" s="4"/>
      <c r="E12" s="4"/>
      <c r="F12" s="4"/>
      <c r="G12" s="4"/>
      <c r="H12" s="4"/>
      <c r="I12" s="35"/>
    </row>
    <row r="13" spans="1:11" x14ac:dyDescent="0.2">
      <c r="A13" s="33"/>
      <c r="B13" s="7" t="s">
        <v>28</v>
      </c>
      <c r="C13" s="7" t="s">
        <v>29</v>
      </c>
      <c r="D13" s="7" t="s">
        <v>11</v>
      </c>
      <c r="E13" s="7" t="s">
        <v>30</v>
      </c>
      <c r="F13" s="7" t="s">
        <v>31</v>
      </c>
      <c r="G13" s="7" t="s">
        <v>32</v>
      </c>
      <c r="H13" s="7" t="s">
        <v>33</v>
      </c>
      <c r="I13" s="35"/>
    </row>
    <row r="14" spans="1:11" x14ac:dyDescent="0.2">
      <c r="A14" s="33"/>
      <c r="B14" s="7"/>
      <c r="C14" s="103" t="s">
        <v>66</v>
      </c>
      <c r="D14" s="96" t="s">
        <v>67</v>
      </c>
      <c r="E14" s="96">
        <v>1</v>
      </c>
      <c r="F14" s="96">
        <v>0.05</v>
      </c>
      <c r="G14" s="97">
        <f>9.5*F9</f>
        <v>8500.7900000000009</v>
      </c>
      <c r="H14" s="98">
        <f>G14*E14</f>
        <v>8500.7900000000009</v>
      </c>
      <c r="I14" s="35"/>
    </row>
    <row r="15" spans="1:11" x14ac:dyDescent="0.2">
      <c r="A15" s="33"/>
      <c r="B15" s="13"/>
      <c r="C15" s="14"/>
      <c r="D15" s="25"/>
      <c r="E15" s="25"/>
      <c r="F15" s="25"/>
      <c r="G15" s="28" t="s">
        <v>37</v>
      </c>
      <c r="H15" s="16">
        <f>SUM(H14:H14)</f>
        <v>8500.7900000000009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38</v>
      </c>
      <c r="H16" s="16">
        <f>H15</f>
        <v>8500.7900000000009</v>
      </c>
      <c r="I16" s="35"/>
    </row>
    <row r="17" spans="1:13" x14ac:dyDescent="0.2">
      <c r="A17" s="34"/>
      <c r="B17" s="5"/>
      <c r="C17" s="5"/>
      <c r="D17" s="5"/>
      <c r="E17" s="5"/>
      <c r="F17" s="5"/>
      <c r="G17" s="5"/>
      <c r="H17" s="5"/>
      <c r="I17" s="35"/>
    </row>
    <row r="18" spans="1:13" x14ac:dyDescent="0.2">
      <c r="A18" s="31" t="s">
        <v>39</v>
      </c>
      <c r="B18" s="4"/>
      <c r="C18" s="4"/>
      <c r="D18" s="4"/>
      <c r="E18" s="4"/>
      <c r="F18" s="4"/>
      <c r="G18" s="4"/>
      <c r="H18" s="4"/>
      <c r="I18" s="32"/>
      <c r="M18" s="8"/>
    </row>
    <row r="19" spans="1:13" x14ac:dyDescent="0.2">
      <c r="A19" s="33"/>
      <c r="B19" s="7" t="s">
        <v>28</v>
      </c>
      <c r="C19" s="7" t="s">
        <v>29</v>
      </c>
      <c r="D19" s="7" t="s">
        <v>11</v>
      </c>
      <c r="E19" s="7" t="s">
        <v>30</v>
      </c>
      <c r="F19" s="7" t="s">
        <v>32</v>
      </c>
      <c r="G19" s="7" t="s">
        <v>40</v>
      </c>
      <c r="H19" s="7" t="s">
        <v>41</v>
      </c>
      <c r="I19" s="32"/>
    </row>
    <row r="20" spans="1:13" x14ac:dyDescent="0.2">
      <c r="A20" s="33"/>
      <c r="B20" s="17"/>
      <c r="C20" s="68" t="s">
        <v>42</v>
      </c>
      <c r="D20" s="20" t="s">
        <v>36</v>
      </c>
      <c r="E20" s="20">
        <v>1</v>
      </c>
      <c r="F20" s="20">
        <f>H15*0.01</f>
        <v>85.007900000000006</v>
      </c>
      <c r="G20" s="20">
        <v>1</v>
      </c>
      <c r="H20" s="21">
        <f>F20*E20*G20</f>
        <v>85.007900000000006</v>
      </c>
      <c r="I20" s="32"/>
      <c r="K20" s="9"/>
    </row>
    <row r="21" spans="1:13" x14ac:dyDescent="0.2">
      <c r="A21" s="33"/>
      <c r="B21" s="13"/>
      <c r="C21" s="14"/>
      <c r="D21" s="15"/>
      <c r="E21" s="15"/>
      <c r="F21" s="15"/>
      <c r="G21" s="29" t="s">
        <v>43</v>
      </c>
      <c r="H21" s="26">
        <f>SUM(H20:H20)</f>
        <v>85.007900000000006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44</v>
      </c>
      <c r="H22" s="26">
        <f>H21/H8</f>
        <v>0.85007900000000003</v>
      </c>
      <c r="I22" s="32"/>
      <c r="K22" s="9"/>
    </row>
    <row r="23" spans="1:13" x14ac:dyDescent="0.2">
      <c r="A23" s="31"/>
      <c r="B23" s="10"/>
      <c r="C23" s="4"/>
      <c r="D23" s="11"/>
      <c r="E23" s="11"/>
      <c r="F23" s="11"/>
      <c r="G23" s="11"/>
      <c r="H23" s="12"/>
      <c r="I23" s="32"/>
      <c r="K23" s="9"/>
    </row>
    <row r="24" spans="1:13" x14ac:dyDescent="0.2">
      <c r="A24" s="31" t="s">
        <v>45</v>
      </c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/>
      <c r="B25" s="7" t="s">
        <v>28</v>
      </c>
      <c r="C25" s="7" t="s">
        <v>29</v>
      </c>
      <c r="D25" s="7" t="s">
        <v>11</v>
      </c>
      <c r="E25" s="7" t="s">
        <v>30</v>
      </c>
      <c r="F25" s="7" t="s">
        <v>46</v>
      </c>
      <c r="G25" s="7"/>
      <c r="H25" s="7" t="s">
        <v>33</v>
      </c>
      <c r="I25" s="32"/>
    </row>
    <row r="26" spans="1:13" x14ac:dyDescent="0.2">
      <c r="A26" s="31"/>
      <c r="B26" s="17"/>
      <c r="C26" s="68" t="s">
        <v>47</v>
      </c>
      <c r="D26" s="20" t="s">
        <v>48</v>
      </c>
      <c r="E26" s="19">
        <v>0.25</v>
      </c>
      <c r="F26" s="18">
        <v>35000</v>
      </c>
      <c r="G26" s="20"/>
      <c r="H26" s="18">
        <f>E26*F26</f>
        <v>8750</v>
      </c>
      <c r="I26" s="32"/>
    </row>
    <row r="27" spans="1:13" x14ac:dyDescent="0.2">
      <c r="A27" s="31"/>
      <c r="B27" s="17"/>
      <c r="C27" s="68" t="s">
        <v>49</v>
      </c>
      <c r="D27" s="20" t="s">
        <v>48</v>
      </c>
      <c r="E27" s="19">
        <v>1</v>
      </c>
      <c r="F27" s="18">
        <v>27500</v>
      </c>
      <c r="G27" s="61"/>
      <c r="H27" s="18">
        <f t="shared" ref="H27:H28" si="0">E27*F27</f>
        <v>27500</v>
      </c>
      <c r="I27" s="32"/>
    </row>
    <row r="28" spans="1:13" x14ac:dyDescent="0.2">
      <c r="A28" s="31"/>
      <c r="B28" s="17"/>
      <c r="C28" s="68" t="s">
        <v>50</v>
      </c>
      <c r="D28" s="20" t="s">
        <v>48</v>
      </c>
      <c r="E28" s="19">
        <v>1</v>
      </c>
      <c r="F28" s="18">
        <v>25000</v>
      </c>
      <c r="G28" s="61"/>
      <c r="H28" s="18">
        <f t="shared" si="0"/>
        <v>25000</v>
      </c>
      <c r="I28" s="32"/>
    </row>
    <row r="29" spans="1:13" x14ac:dyDescent="0.2">
      <c r="A29" s="31"/>
      <c r="B29" s="10"/>
      <c r="C29" s="4"/>
      <c r="D29" s="11"/>
      <c r="E29" s="11"/>
      <c r="F29" s="11"/>
      <c r="G29" s="29" t="s">
        <v>51</v>
      </c>
      <c r="H29" s="63">
        <f>SUM(H26:H28)</f>
        <v>61250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30"/>
      <c r="H30" s="12"/>
      <c r="I30" s="32"/>
    </row>
    <row r="31" spans="1:13" x14ac:dyDescent="0.2">
      <c r="A31" s="31"/>
      <c r="B31" s="10"/>
      <c r="C31" s="4"/>
      <c r="D31" s="11"/>
      <c r="E31" s="11"/>
      <c r="F31" s="11"/>
      <c r="G31" s="29" t="s">
        <v>52</v>
      </c>
      <c r="H31" s="63">
        <f>H29</f>
        <v>61250</v>
      </c>
      <c r="I31" s="32"/>
    </row>
    <row r="32" spans="1:13" x14ac:dyDescent="0.2">
      <c r="A32" s="31"/>
      <c r="B32" s="10"/>
      <c r="C32" s="4"/>
      <c r="D32" s="11"/>
      <c r="E32" s="64">
        <v>0.56999999999999995</v>
      </c>
      <c r="F32" s="11"/>
      <c r="G32" s="29" t="s">
        <v>53</v>
      </c>
      <c r="H32" s="65">
        <f>H31*E32</f>
        <v>34912.5</v>
      </c>
      <c r="I32" s="32"/>
    </row>
    <row r="33" spans="1:9" x14ac:dyDescent="0.2">
      <c r="A33" s="31"/>
      <c r="B33" s="10"/>
      <c r="C33" s="4"/>
      <c r="D33" s="11"/>
      <c r="E33" s="64">
        <v>0</v>
      </c>
      <c r="F33" s="11"/>
      <c r="G33" s="29" t="s">
        <v>54</v>
      </c>
      <c r="H33" s="63">
        <f>H31*E33</f>
        <v>0</v>
      </c>
      <c r="I33" s="32"/>
    </row>
    <row r="34" spans="1:9" x14ac:dyDescent="0.2">
      <c r="A34" s="31"/>
      <c r="B34" s="10"/>
      <c r="C34" s="4"/>
      <c r="D34" s="11"/>
      <c r="E34" s="11"/>
      <c r="F34" s="11"/>
      <c r="G34" s="30"/>
      <c r="H34" s="12"/>
      <c r="I34" s="32"/>
    </row>
    <row r="35" spans="1:9" x14ac:dyDescent="0.2">
      <c r="A35" s="31"/>
      <c r="B35" s="10"/>
      <c r="C35" s="4"/>
      <c r="D35" s="11"/>
      <c r="E35" s="11"/>
      <c r="F35" s="11"/>
      <c r="G35" s="29" t="s">
        <v>51</v>
      </c>
      <c r="H35" s="63">
        <f>H31+H32+H33</f>
        <v>96162.5</v>
      </c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55</v>
      </c>
      <c r="H36" s="66">
        <f>H35/H8</f>
        <v>961.625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30"/>
      <c r="H37" s="12"/>
      <c r="I37" s="32"/>
    </row>
    <row r="38" spans="1:9" x14ac:dyDescent="0.2">
      <c r="A38" s="31"/>
      <c r="B38" s="10"/>
      <c r="C38" s="4"/>
      <c r="D38" s="11"/>
      <c r="E38" s="11"/>
      <c r="F38" s="11"/>
      <c r="G38" s="29" t="s">
        <v>56</v>
      </c>
      <c r="H38" s="63">
        <f>H16+H22+H36</f>
        <v>9463.2650790000007</v>
      </c>
      <c r="I38" s="32"/>
    </row>
    <row r="39" spans="1:9" x14ac:dyDescent="0.2">
      <c r="A39" s="31"/>
      <c r="B39" s="10"/>
      <c r="C39" s="4"/>
      <c r="D39" s="11"/>
      <c r="E39" s="11"/>
      <c r="F39" s="11"/>
      <c r="G39" s="11"/>
      <c r="H39" s="63"/>
      <c r="I39" s="32"/>
    </row>
    <row r="40" spans="1:9" x14ac:dyDescent="0.2">
      <c r="A40" s="31"/>
      <c r="B40" s="10"/>
      <c r="C40" s="4"/>
      <c r="D40" s="64">
        <v>0</v>
      </c>
      <c r="E40" s="11"/>
      <c r="F40" s="11"/>
      <c r="G40" s="27" t="s">
        <v>57</v>
      </c>
      <c r="H40" s="63">
        <f>D40*H38</f>
        <v>0</v>
      </c>
      <c r="I40" s="32"/>
    </row>
    <row r="41" spans="1:9" x14ac:dyDescent="0.2">
      <c r="A41" s="31"/>
      <c r="B41" s="10"/>
      <c r="C41" s="4"/>
      <c r="D41" s="11"/>
      <c r="E41" s="11"/>
      <c r="F41" s="11"/>
      <c r="G41" s="27" t="s">
        <v>58</v>
      </c>
      <c r="H41" s="63">
        <f>H38+H40</f>
        <v>9463.2650790000007</v>
      </c>
      <c r="I41" s="32"/>
    </row>
    <row r="42" spans="1:9" x14ac:dyDescent="0.2">
      <c r="A42" s="31"/>
      <c r="B42" s="10"/>
      <c r="C42" s="4"/>
      <c r="D42" s="64">
        <v>0</v>
      </c>
      <c r="E42" s="11"/>
      <c r="F42" s="11"/>
      <c r="G42" s="27" t="s">
        <v>59</v>
      </c>
      <c r="H42" s="63">
        <f>D42*H41</f>
        <v>0</v>
      </c>
      <c r="I42" s="32"/>
    </row>
    <row r="43" spans="1:9" x14ac:dyDescent="0.2">
      <c r="A43" s="31"/>
      <c r="B43" s="10"/>
      <c r="C43" s="4"/>
      <c r="D43" s="11"/>
      <c r="E43" s="11"/>
      <c r="F43" s="11"/>
      <c r="G43" s="11"/>
      <c r="H43" s="12"/>
      <c r="I43" s="32"/>
    </row>
    <row r="44" spans="1:9" x14ac:dyDescent="0.2">
      <c r="A44" s="31"/>
      <c r="B44" s="10"/>
      <c r="C44" s="4"/>
      <c r="D44" s="11"/>
      <c r="E44" s="11"/>
      <c r="F44" s="11"/>
      <c r="H44" s="12"/>
      <c r="I44" s="32"/>
    </row>
    <row r="45" spans="1:9" x14ac:dyDescent="0.2">
      <c r="A45" s="31"/>
      <c r="B45" s="10"/>
      <c r="C45" s="4"/>
      <c r="D45" s="11"/>
      <c r="E45" s="11"/>
      <c r="F45" s="39"/>
      <c r="G45" s="40" t="s">
        <v>60</v>
      </c>
      <c r="H45" s="67">
        <f>H41+H42</f>
        <v>9463.2650790000007</v>
      </c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61</v>
      </c>
      <c r="H46" s="67">
        <f>(H16+H22+(H36*H10))</f>
        <v>9171.6358189103139</v>
      </c>
      <c r="I46" s="32"/>
    </row>
    <row r="47" spans="1:9" x14ac:dyDescent="0.2">
      <c r="A47" s="36"/>
      <c r="B47" s="37"/>
      <c r="C47" s="37"/>
      <c r="D47" s="37"/>
      <c r="E47" s="37"/>
      <c r="F47" s="37"/>
      <c r="G47" s="37"/>
      <c r="H47" s="37"/>
      <c r="I47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80C603-30C6-45C6-96B4-B13B0C88898B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FDB0F-9D06-48B4-B1F3-35192EC0BA3A}">
  <dimension ref="A1:M48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19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6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70" t="s">
        <v>68</v>
      </c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4"/>
      <c r="B12" s="70"/>
      <c r="C12" s="54"/>
      <c r="D12" s="54"/>
      <c r="E12" s="54"/>
      <c r="F12" s="54"/>
      <c r="G12" s="54"/>
      <c r="H12" s="54"/>
      <c r="I12" s="35"/>
      <c r="J12" s="6"/>
    </row>
    <row r="13" spans="1:11" x14ac:dyDescent="0.2">
      <c r="A13" s="31" t="s">
        <v>27</v>
      </c>
      <c r="B13" s="4"/>
      <c r="C13" s="4"/>
      <c r="D13" s="4"/>
      <c r="E13" s="4"/>
      <c r="F13" s="4"/>
      <c r="G13" s="4"/>
      <c r="H13" s="4"/>
      <c r="I13" s="35"/>
    </row>
    <row r="14" spans="1:11" x14ac:dyDescent="0.2">
      <c r="A14" s="33"/>
      <c r="B14" s="7" t="s">
        <v>28</v>
      </c>
      <c r="C14" s="7" t="s">
        <v>29</v>
      </c>
      <c r="D14" s="7" t="s">
        <v>11</v>
      </c>
      <c r="E14" s="7" t="s">
        <v>30</v>
      </c>
      <c r="F14" s="7" t="s">
        <v>31</v>
      </c>
      <c r="G14" s="7" t="s">
        <v>32</v>
      </c>
      <c r="H14" s="7" t="s">
        <v>33</v>
      </c>
      <c r="I14" s="35"/>
    </row>
    <row r="15" spans="1:11" x14ac:dyDescent="0.2">
      <c r="A15" s="33"/>
      <c r="B15" s="7"/>
      <c r="C15" s="103" t="s">
        <v>69</v>
      </c>
      <c r="D15" s="96" t="s">
        <v>11</v>
      </c>
      <c r="E15" s="96">
        <v>1</v>
      </c>
      <c r="F15" s="96">
        <v>0</v>
      </c>
      <c r="G15" s="97">
        <f>750*F9</f>
        <v>671115</v>
      </c>
      <c r="H15" s="98">
        <f>G15*E15</f>
        <v>671115</v>
      </c>
      <c r="I15" s="35"/>
    </row>
    <row r="16" spans="1:11" x14ac:dyDescent="0.2">
      <c r="A16" s="33"/>
      <c r="B16" s="13"/>
      <c r="C16" s="14"/>
      <c r="D16" s="25"/>
      <c r="E16" s="25"/>
      <c r="F16" s="25"/>
      <c r="G16" s="28" t="s">
        <v>37</v>
      </c>
      <c r="H16" s="16">
        <f>SUM(H15:H15)</f>
        <v>671115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38</v>
      </c>
      <c r="H17" s="16">
        <f>H16</f>
        <v>671115</v>
      </c>
      <c r="I17" s="35"/>
    </row>
    <row r="18" spans="1:13" x14ac:dyDescent="0.2">
      <c r="A18" s="34"/>
      <c r="B18" s="5"/>
      <c r="C18" s="5"/>
      <c r="D18" s="5"/>
      <c r="E18" s="5"/>
      <c r="F18" s="5"/>
      <c r="G18" s="5"/>
      <c r="H18" s="5"/>
      <c r="I18" s="35"/>
    </row>
    <row r="19" spans="1:13" x14ac:dyDescent="0.2">
      <c r="A19" s="31" t="s">
        <v>39</v>
      </c>
      <c r="B19" s="4"/>
      <c r="C19" s="4"/>
      <c r="D19" s="4"/>
      <c r="E19" s="4"/>
      <c r="F19" s="4"/>
      <c r="G19" s="4"/>
      <c r="H19" s="4"/>
      <c r="I19" s="32"/>
      <c r="M19" s="8"/>
    </row>
    <row r="20" spans="1:13" x14ac:dyDescent="0.2">
      <c r="A20" s="33"/>
      <c r="B20" s="7" t="s">
        <v>28</v>
      </c>
      <c r="C20" s="7" t="s">
        <v>29</v>
      </c>
      <c r="D20" s="7" t="s">
        <v>11</v>
      </c>
      <c r="E20" s="7" t="s">
        <v>30</v>
      </c>
      <c r="F20" s="7" t="s">
        <v>32</v>
      </c>
      <c r="G20" s="7" t="s">
        <v>40</v>
      </c>
      <c r="H20" s="7" t="s">
        <v>41</v>
      </c>
      <c r="I20" s="32"/>
    </row>
    <row r="21" spans="1:13" x14ac:dyDescent="0.2">
      <c r="A21" s="33"/>
      <c r="B21" s="17"/>
      <c r="C21" s="68" t="s">
        <v>42</v>
      </c>
      <c r="D21" s="20" t="s">
        <v>36</v>
      </c>
      <c r="E21" s="20">
        <v>1</v>
      </c>
      <c r="F21" s="20">
        <f>H16*0.01</f>
        <v>6711.1500000000005</v>
      </c>
      <c r="G21" s="20">
        <v>1</v>
      </c>
      <c r="H21" s="21">
        <f>F21*E21*G21</f>
        <v>6711.1500000000005</v>
      </c>
      <c r="I21" s="32"/>
      <c r="K21" s="9"/>
    </row>
    <row r="22" spans="1:13" x14ac:dyDescent="0.2">
      <c r="A22" s="33"/>
      <c r="B22" s="13"/>
      <c r="C22" s="14"/>
      <c r="D22" s="15"/>
      <c r="E22" s="15"/>
      <c r="F22" s="15"/>
      <c r="G22" s="29" t="s">
        <v>43</v>
      </c>
      <c r="H22" s="26">
        <f>SUM(H21:H21)</f>
        <v>6711.1500000000005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44</v>
      </c>
      <c r="H23" s="26">
        <f>H22/H8</f>
        <v>1118.5250000000001</v>
      </c>
      <c r="I23" s="32"/>
      <c r="K23" s="9"/>
    </row>
    <row r="24" spans="1:13" x14ac:dyDescent="0.2">
      <c r="A24" s="31"/>
      <c r="B24" s="10"/>
      <c r="C24" s="4"/>
      <c r="D24" s="11"/>
      <c r="E24" s="11"/>
      <c r="F24" s="11"/>
      <c r="G24" s="11"/>
      <c r="H24" s="12"/>
      <c r="I24" s="32"/>
      <c r="K24" s="9"/>
    </row>
    <row r="25" spans="1:13" x14ac:dyDescent="0.2">
      <c r="A25" s="31" t="s">
        <v>45</v>
      </c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/>
      <c r="B26" s="7" t="s">
        <v>28</v>
      </c>
      <c r="C26" s="7" t="s">
        <v>29</v>
      </c>
      <c r="D26" s="7" t="s">
        <v>11</v>
      </c>
      <c r="E26" s="7" t="s">
        <v>30</v>
      </c>
      <c r="F26" s="7" t="s">
        <v>46</v>
      </c>
      <c r="G26" s="7"/>
      <c r="H26" s="7" t="s">
        <v>33</v>
      </c>
      <c r="I26" s="32"/>
    </row>
    <row r="27" spans="1:13" x14ac:dyDescent="0.2">
      <c r="A27" s="31"/>
      <c r="B27" s="17"/>
      <c r="C27" s="68" t="s">
        <v>47</v>
      </c>
      <c r="D27" s="20" t="s">
        <v>48</v>
      </c>
      <c r="E27" s="19">
        <v>0.25</v>
      </c>
      <c r="F27" s="18">
        <v>35000</v>
      </c>
      <c r="G27" s="20"/>
      <c r="H27" s="18">
        <f>E27*F27</f>
        <v>8750</v>
      </c>
      <c r="I27" s="32"/>
    </row>
    <row r="28" spans="1:13" x14ac:dyDescent="0.2">
      <c r="A28" s="31"/>
      <c r="B28" s="17"/>
      <c r="C28" s="68" t="s">
        <v>49</v>
      </c>
      <c r="D28" s="20" t="s">
        <v>48</v>
      </c>
      <c r="E28" s="19">
        <v>1</v>
      </c>
      <c r="F28" s="18">
        <v>27500</v>
      </c>
      <c r="G28" s="61"/>
      <c r="H28" s="18">
        <f t="shared" ref="H28:H29" si="0">E28*F28</f>
        <v>27500</v>
      </c>
      <c r="I28" s="32"/>
    </row>
    <row r="29" spans="1:13" x14ac:dyDescent="0.2">
      <c r="A29" s="31"/>
      <c r="B29" s="17"/>
      <c r="C29" s="68" t="s">
        <v>50</v>
      </c>
      <c r="D29" s="20" t="s">
        <v>48</v>
      </c>
      <c r="E29" s="19">
        <v>1</v>
      </c>
      <c r="F29" s="18">
        <v>25000</v>
      </c>
      <c r="G29" s="61"/>
      <c r="H29" s="18">
        <f t="shared" si="0"/>
        <v>25000</v>
      </c>
      <c r="I29" s="32"/>
    </row>
    <row r="30" spans="1:13" x14ac:dyDescent="0.2">
      <c r="A30" s="31"/>
      <c r="B30" s="10"/>
      <c r="C30" s="4"/>
      <c r="D30" s="11"/>
      <c r="E30" s="11"/>
      <c r="F30" s="11"/>
      <c r="G30" s="29" t="s">
        <v>51</v>
      </c>
      <c r="H30" s="63">
        <f>SUM(H27:H29)</f>
        <v>61250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30"/>
      <c r="H31" s="12"/>
      <c r="I31" s="32"/>
    </row>
    <row r="32" spans="1:13" x14ac:dyDescent="0.2">
      <c r="A32" s="31"/>
      <c r="B32" s="10"/>
      <c r="C32" s="4"/>
      <c r="D32" s="11"/>
      <c r="E32" s="11"/>
      <c r="F32" s="11"/>
      <c r="G32" s="29" t="s">
        <v>52</v>
      </c>
      <c r="H32" s="63">
        <f>H30</f>
        <v>61250</v>
      </c>
      <c r="I32" s="32"/>
    </row>
    <row r="33" spans="1:9" x14ac:dyDescent="0.2">
      <c r="A33" s="31"/>
      <c r="B33" s="10"/>
      <c r="C33" s="4"/>
      <c r="D33" s="11"/>
      <c r="E33" s="64">
        <v>0.56999999999999995</v>
      </c>
      <c r="F33" s="11"/>
      <c r="G33" s="29" t="s">
        <v>53</v>
      </c>
      <c r="H33" s="65">
        <f>H32*E33</f>
        <v>34912.5</v>
      </c>
      <c r="I33" s="32"/>
    </row>
    <row r="34" spans="1:9" x14ac:dyDescent="0.2">
      <c r="A34" s="31"/>
      <c r="B34" s="10"/>
      <c r="C34" s="4"/>
      <c r="D34" s="11"/>
      <c r="E34" s="64">
        <v>0</v>
      </c>
      <c r="F34" s="11"/>
      <c r="G34" s="29" t="s">
        <v>54</v>
      </c>
      <c r="H34" s="63">
        <f>H32*E34</f>
        <v>0</v>
      </c>
      <c r="I34" s="32"/>
    </row>
    <row r="35" spans="1:9" x14ac:dyDescent="0.2">
      <c r="A35" s="31"/>
      <c r="B35" s="10"/>
      <c r="C35" s="4"/>
      <c r="D35" s="11"/>
      <c r="E35" s="11"/>
      <c r="F35" s="11"/>
      <c r="G35" s="30"/>
      <c r="H35" s="12"/>
      <c r="I35" s="32"/>
    </row>
    <row r="36" spans="1:9" x14ac:dyDescent="0.2">
      <c r="A36" s="31"/>
      <c r="B36" s="10"/>
      <c r="C36" s="4"/>
      <c r="D36" s="11"/>
      <c r="E36" s="11"/>
      <c r="F36" s="11"/>
      <c r="G36" s="29" t="s">
        <v>51</v>
      </c>
      <c r="H36" s="63">
        <f>H32+H33+H34</f>
        <v>96162.5</v>
      </c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55</v>
      </c>
      <c r="H37" s="66">
        <f>H36/H8</f>
        <v>16027.083333333334</v>
      </c>
      <c r="I37" s="32"/>
    </row>
    <row r="38" spans="1:9" x14ac:dyDescent="0.2">
      <c r="A38" s="31"/>
      <c r="B38" s="10"/>
      <c r="C38" s="4"/>
      <c r="D38" s="11"/>
      <c r="E38" s="11"/>
      <c r="F38" s="11"/>
      <c r="G38" s="30"/>
      <c r="H38" s="12"/>
      <c r="I38" s="32"/>
    </row>
    <row r="39" spans="1:9" x14ac:dyDescent="0.2">
      <c r="A39" s="31"/>
      <c r="B39" s="10"/>
      <c r="C39" s="4"/>
      <c r="D39" s="11"/>
      <c r="E39" s="11"/>
      <c r="F39" s="11"/>
      <c r="G39" s="29" t="s">
        <v>56</v>
      </c>
      <c r="H39" s="63">
        <f>H17+H23+H37</f>
        <v>688260.6083333334</v>
      </c>
      <c r="I39" s="32"/>
    </row>
    <row r="40" spans="1:9" x14ac:dyDescent="0.2">
      <c r="A40" s="31"/>
      <c r="B40" s="10"/>
      <c r="C40" s="4"/>
      <c r="D40" s="11"/>
      <c r="E40" s="11"/>
      <c r="F40" s="11"/>
      <c r="G40" s="11"/>
      <c r="H40" s="63"/>
      <c r="I40" s="32"/>
    </row>
    <row r="41" spans="1:9" x14ac:dyDescent="0.2">
      <c r="A41" s="31"/>
      <c r="B41" s="10"/>
      <c r="C41" s="4"/>
      <c r="D41" s="64">
        <v>0</v>
      </c>
      <c r="E41" s="11"/>
      <c r="F41" s="11"/>
      <c r="G41" s="27" t="s">
        <v>57</v>
      </c>
      <c r="H41" s="63">
        <f>D41*H39</f>
        <v>0</v>
      </c>
      <c r="I41" s="32"/>
    </row>
    <row r="42" spans="1:9" x14ac:dyDescent="0.2">
      <c r="A42" s="31"/>
      <c r="B42" s="10"/>
      <c r="C42" s="4"/>
      <c r="D42" s="11"/>
      <c r="E42" s="11"/>
      <c r="F42" s="11"/>
      <c r="G42" s="27" t="s">
        <v>58</v>
      </c>
      <c r="H42" s="63">
        <f>H39+H41</f>
        <v>688260.6083333334</v>
      </c>
      <c r="I42" s="32"/>
    </row>
    <row r="43" spans="1:9" x14ac:dyDescent="0.2">
      <c r="A43" s="31"/>
      <c r="B43" s="10"/>
      <c r="C43" s="4"/>
      <c r="D43" s="64">
        <v>0</v>
      </c>
      <c r="E43" s="11"/>
      <c r="F43" s="11"/>
      <c r="G43" s="27" t="s">
        <v>59</v>
      </c>
      <c r="H43" s="63">
        <f>D43*H42</f>
        <v>0</v>
      </c>
      <c r="I43" s="32"/>
    </row>
    <row r="44" spans="1:9" x14ac:dyDescent="0.2">
      <c r="A44" s="31"/>
      <c r="B44" s="10"/>
      <c r="C44" s="4"/>
      <c r="D44" s="11"/>
      <c r="E44" s="11"/>
      <c r="F44" s="11"/>
      <c r="G44" s="11"/>
      <c r="H44" s="12"/>
      <c r="I44" s="32"/>
    </row>
    <row r="45" spans="1:9" x14ac:dyDescent="0.2">
      <c r="A45" s="31"/>
      <c r="B45" s="10"/>
      <c r="C45" s="4"/>
      <c r="D45" s="11"/>
      <c r="E45" s="11"/>
      <c r="F45" s="11"/>
      <c r="H45" s="12"/>
      <c r="I45" s="32"/>
    </row>
    <row r="46" spans="1:9" x14ac:dyDescent="0.2">
      <c r="A46" s="31"/>
      <c r="B46" s="10"/>
      <c r="C46" s="4"/>
      <c r="D46" s="11"/>
      <c r="E46" s="11"/>
      <c r="F46" s="39"/>
      <c r="G46" s="40" t="s">
        <v>60</v>
      </c>
      <c r="H46" s="67">
        <f>H42+H43</f>
        <v>688260.6083333334</v>
      </c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61</v>
      </c>
      <c r="H47" s="67">
        <f>(H17+H23+(H37*H10))</f>
        <v>683400.12066517188</v>
      </c>
      <c r="I47" s="32"/>
    </row>
    <row r="48" spans="1:9" x14ac:dyDescent="0.2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70EF7D-9A78-45E8-AC2A-85616F08179E}">
          <x14:formula1>
            <xm:f>'Factor Socioeconómico'!$C$3:$C$18</xm:f>
          </x14:formula1>
          <xm:sqref>F10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4FBB6-1BF5-438A-A696-FFCA986EC07C}">
  <dimension ref="A1:M49"/>
  <sheetViews>
    <sheetView view="pageBreakPreview" zoomScaleNormal="100" zoomScaleSheetLayoutView="100" workbookViewId="0">
      <selection activeCell="A3" sqref="A3"/>
    </sheetView>
  </sheetViews>
  <sheetFormatPr baseColWidth="10" defaultColWidth="10.7109375" defaultRowHeight="11.25" x14ac:dyDescent="0.2"/>
  <cols>
    <col min="1" max="1" width="4.5703125" style="1" customWidth="1"/>
    <col min="2" max="2" width="10.7109375" style="1" customWidth="1"/>
    <col min="3" max="3" width="45.7109375" style="1" customWidth="1"/>
    <col min="4" max="8" width="10.7109375" style="1" customWidth="1"/>
    <col min="9" max="9" width="4.5703125" style="1" customWidth="1"/>
    <col min="10" max="10" width="11.42578125" style="1" bestFit="1" customWidth="1"/>
    <col min="11" max="16384" width="10.7109375" style="1"/>
  </cols>
  <sheetData>
    <row r="1" spans="1:11" x14ac:dyDescent="0.2">
      <c r="A1" s="41"/>
      <c r="B1" s="42"/>
      <c r="C1" s="42"/>
      <c r="D1" s="42"/>
      <c r="E1" s="42"/>
      <c r="F1" s="42"/>
      <c r="G1" s="42"/>
      <c r="H1" s="42"/>
      <c r="I1" s="43"/>
      <c r="J1" s="2"/>
      <c r="K1" s="3"/>
    </row>
    <row r="2" spans="1:11" x14ac:dyDescent="0.2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2"/>
      <c r="K2" s="3"/>
    </row>
    <row r="3" spans="1:11" x14ac:dyDescent="0.2">
      <c r="A3" s="44"/>
      <c r="B3" s="45"/>
      <c r="C3" s="45"/>
      <c r="D3" s="45"/>
      <c r="E3" s="45"/>
      <c r="F3" s="45"/>
      <c r="G3" s="45"/>
      <c r="H3" s="45"/>
      <c r="I3" s="46"/>
    </row>
    <row r="4" spans="1:11" x14ac:dyDescent="0.2">
      <c r="A4" s="47" t="s">
        <v>1</v>
      </c>
      <c r="B4" s="45"/>
      <c r="C4" s="45"/>
      <c r="D4" s="45"/>
      <c r="E4" s="45"/>
      <c r="F4" s="45"/>
      <c r="G4" s="45"/>
      <c r="H4" s="45"/>
      <c r="I4" s="46"/>
    </row>
    <row r="5" spans="1:11" x14ac:dyDescent="0.2">
      <c r="A5" s="47"/>
      <c r="B5" s="45"/>
      <c r="C5" s="45"/>
      <c r="D5" s="45"/>
      <c r="E5" s="45"/>
      <c r="F5" s="45"/>
      <c r="G5" s="45"/>
      <c r="H5" s="45"/>
      <c r="I5" s="46"/>
    </row>
    <row r="6" spans="1:11" x14ac:dyDescent="0.2">
      <c r="A6" s="48"/>
      <c r="B6" s="49"/>
      <c r="C6" s="49"/>
      <c r="D6" s="49"/>
      <c r="E6" s="49"/>
      <c r="F6" s="49"/>
      <c r="G6" s="49"/>
      <c r="H6" s="49"/>
      <c r="I6" s="50"/>
    </row>
    <row r="7" spans="1:11" x14ac:dyDescent="0.2">
      <c r="A7" s="134" t="s">
        <v>20</v>
      </c>
      <c r="B7" s="135"/>
      <c r="C7" s="135"/>
      <c r="D7" s="135"/>
      <c r="E7" s="135"/>
      <c r="F7" s="135"/>
      <c r="G7" s="135"/>
      <c r="H7" s="135"/>
      <c r="I7" s="136"/>
    </row>
    <row r="8" spans="1:11" x14ac:dyDescent="0.2">
      <c r="A8" s="34"/>
      <c r="B8" s="4"/>
      <c r="C8" s="4"/>
      <c r="D8" s="5"/>
      <c r="E8" s="22" t="s">
        <v>24</v>
      </c>
      <c r="F8" s="23" t="s">
        <v>25</v>
      </c>
      <c r="G8" s="22" t="s">
        <v>26</v>
      </c>
      <c r="H8" s="24">
        <v>6</v>
      </c>
      <c r="I8" s="35"/>
    </row>
    <row r="9" spans="1:11" x14ac:dyDescent="0.2">
      <c r="A9" s="34"/>
      <c r="B9" s="4"/>
      <c r="C9" s="4"/>
      <c r="D9" s="5"/>
      <c r="E9" s="22" t="s">
        <v>3</v>
      </c>
      <c r="F9" s="107">
        <f>'RESUMEN SIST. FV Off Grid'!F8</f>
        <v>894.82</v>
      </c>
      <c r="G9" s="22" t="s">
        <v>4</v>
      </c>
      <c r="H9" s="108">
        <f>'RESUMEN SIST. FV Off Grid'!H8</f>
        <v>35630</v>
      </c>
      <c r="I9" s="35"/>
    </row>
    <row r="10" spans="1:11" x14ac:dyDescent="0.2">
      <c r="A10" s="34"/>
      <c r="B10" s="4"/>
      <c r="C10" s="4"/>
      <c r="D10" s="5"/>
      <c r="E10" s="22" t="s">
        <v>5</v>
      </c>
      <c r="F10" s="107" t="str">
        <f>'RESUMEN SIST. FV Off Grid'!F9</f>
        <v>Ñuble</v>
      </c>
      <c r="G10" s="22" t="s">
        <v>7</v>
      </c>
      <c r="H10" s="94">
        <f>'RESUMEN SIST. FV Off Grid'!H9</f>
        <v>0.69673286354900699</v>
      </c>
      <c r="I10" s="35"/>
    </row>
    <row r="11" spans="1:11" x14ac:dyDescent="0.2">
      <c r="A11" s="34"/>
      <c r="B11" s="70" t="s">
        <v>70</v>
      </c>
      <c r="C11" s="54"/>
      <c r="D11" s="54"/>
      <c r="E11" s="54"/>
      <c r="F11" s="54"/>
      <c r="G11" s="54"/>
      <c r="H11" s="54"/>
      <c r="I11" s="35"/>
      <c r="J11" s="6"/>
    </row>
    <row r="12" spans="1:11" x14ac:dyDescent="0.2">
      <c r="A12" s="34"/>
      <c r="B12" s="70"/>
      <c r="C12" s="54"/>
      <c r="D12" s="54"/>
      <c r="E12" s="54"/>
      <c r="F12" s="54"/>
      <c r="G12" s="54"/>
      <c r="H12" s="54"/>
      <c r="I12" s="35"/>
      <c r="J12" s="6"/>
    </row>
    <row r="13" spans="1:11" x14ac:dyDescent="0.2">
      <c r="A13" s="31" t="s">
        <v>27</v>
      </c>
      <c r="B13" s="4"/>
      <c r="C13" s="4"/>
      <c r="D13" s="4"/>
      <c r="E13" s="4"/>
      <c r="F13" s="4"/>
      <c r="G13" s="4"/>
      <c r="H13" s="4"/>
      <c r="I13" s="35"/>
    </row>
    <row r="14" spans="1:11" x14ac:dyDescent="0.2">
      <c r="A14" s="33"/>
      <c r="B14" s="7" t="s">
        <v>28</v>
      </c>
      <c r="C14" s="7" t="s">
        <v>29</v>
      </c>
      <c r="D14" s="7" t="s">
        <v>11</v>
      </c>
      <c r="E14" s="7" t="s">
        <v>30</v>
      </c>
      <c r="F14" s="7" t="s">
        <v>31</v>
      </c>
      <c r="G14" s="7" t="s">
        <v>32</v>
      </c>
      <c r="H14" s="7" t="s">
        <v>33</v>
      </c>
      <c r="I14" s="35"/>
    </row>
    <row r="15" spans="1:11" x14ac:dyDescent="0.2">
      <c r="A15" s="33"/>
      <c r="B15" s="7"/>
      <c r="C15" s="103" t="s">
        <v>71</v>
      </c>
      <c r="D15" s="96" t="s">
        <v>72</v>
      </c>
      <c r="E15" s="96">
        <v>4</v>
      </c>
      <c r="F15" s="96">
        <v>0</v>
      </c>
      <c r="G15" s="97">
        <f>215*F9</f>
        <v>192386.30000000002</v>
      </c>
      <c r="H15" s="98">
        <f>G15*E15</f>
        <v>769545.20000000007</v>
      </c>
      <c r="I15" s="35"/>
    </row>
    <row r="16" spans="1:11" x14ac:dyDescent="0.2">
      <c r="A16" s="33"/>
      <c r="B16" s="7"/>
      <c r="C16" s="68" t="s">
        <v>73</v>
      </c>
      <c r="D16" s="60" t="s">
        <v>72</v>
      </c>
      <c r="E16" s="60">
        <v>1</v>
      </c>
      <c r="F16" s="60">
        <v>0</v>
      </c>
      <c r="G16" s="69">
        <v>95000</v>
      </c>
      <c r="H16" s="62">
        <f>G16*E16</f>
        <v>95000</v>
      </c>
      <c r="I16" s="35"/>
    </row>
    <row r="17" spans="1:13" x14ac:dyDescent="0.2">
      <c r="A17" s="33"/>
      <c r="B17" s="13"/>
      <c r="C17" s="14"/>
      <c r="D17" s="25"/>
      <c r="E17" s="25"/>
      <c r="F17" s="25"/>
      <c r="G17" s="28" t="s">
        <v>37</v>
      </c>
      <c r="H17" s="16">
        <f>SUM(H15:H16)</f>
        <v>864545.20000000007</v>
      </c>
      <c r="I17" s="35"/>
    </row>
    <row r="18" spans="1:13" x14ac:dyDescent="0.2">
      <c r="A18" s="33"/>
      <c r="B18" s="13"/>
      <c r="C18" s="14"/>
      <c r="D18" s="25"/>
      <c r="E18" s="25"/>
      <c r="F18" s="25"/>
      <c r="G18" s="28" t="s">
        <v>38</v>
      </c>
      <c r="H18" s="16">
        <f>H17</f>
        <v>864545.20000000007</v>
      </c>
      <c r="I18" s="35"/>
    </row>
    <row r="19" spans="1:13" x14ac:dyDescent="0.2">
      <c r="A19" s="34"/>
      <c r="B19" s="5"/>
      <c r="C19" s="5"/>
      <c r="D19" s="5"/>
      <c r="E19" s="5"/>
      <c r="F19" s="5"/>
      <c r="G19" s="5"/>
      <c r="H19" s="5"/>
      <c r="I19" s="35"/>
    </row>
    <row r="20" spans="1:13" x14ac:dyDescent="0.2">
      <c r="A20" s="31" t="s">
        <v>39</v>
      </c>
      <c r="B20" s="4"/>
      <c r="C20" s="4"/>
      <c r="D20" s="4"/>
      <c r="E20" s="4"/>
      <c r="F20" s="4"/>
      <c r="G20" s="4"/>
      <c r="H20" s="4"/>
      <c r="I20" s="32"/>
      <c r="M20" s="8"/>
    </row>
    <row r="21" spans="1:13" x14ac:dyDescent="0.2">
      <c r="A21" s="33"/>
      <c r="B21" s="7" t="s">
        <v>28</v>
      </c>
      <c r="C21" s="7" t="s">
        <v>29</v>
      </c>
      <c r="D21" s="7" t="s">
        <v>11</v>
      </c>
      <c r="E21" s="7" t="s">
        <v>30</v>
      </c>
      <c r="F21" s="7" t="s">
        <v>32</v>
      </c>
      <c r="G21" s="7" t="s">
        <v>40</v>
      </c>
      <c r="H21" s="7" t="s">
        <v>41</v>
      </c>
      <c r="I21" s="32"/>
    </row>
    <row r="22" spans="1:13" x14ac:dyDescent="0.2">
      <c r="A22" s="33"/>
      <c r="B22" s="17"/>
      <c r="C22" s="68" t="s">
        <v>42</v>
      </c>
      <c r="D22" s="20" t="s">
        <v>36</v>
      </c>
      <c r="E22" s="20">
        <v>1</v>
      </c>
      <c r="F22" s="20">
        <f>H17*0.01</f>
        <v>8645.4520000000011</v>
      </c>
      <c r="G22" s="20">
        <v>1</v>
      </c>
      <c r="H22" s="21">
        <f>F22*E22*G22</f>
        <v>8645.4520000000011</v>
      </c>
      <c r="I22" s="32"/>
      <c r="K22" s="9"/>
    </row>
    <row r="23" spans="1:13" x14ac:dyDescent="0.2">
      <c r="A23" s="33"/>
      <c r="B23" s="13"/>
      <c r="C23" s="14"/>
      <c r="D23" s="15"/>
      <c r="E23" s="15"/>
      <c r="F23" s="15"/>
      <c r="G23" s="29" t="s">
        <v>43</v>
      </c>
      <c r="H23" s="26">
        <f>SUM(H22:H22)</f>
        <v>8645.4520000000011</v>
      </c>
      <c r="I23" s="32"/>
      <c r="K23" s="9"/>
    </row>
    <row r="24" spans="1:13" x14ac:dyDescent="0.2">
      <c r="A24" s="33"/>
      <c r="B24" s="13"/>
      <c r="C24" s="14"/>
      <c r="D24" s="15"/>
      <c r="E24" s="15"/>
      <c r="F24" s="15"/>
      <c r="G24" s="29" t="s">
        <v>44</v>
      </c>
      <c r="H24" s="26">
        <f>H23/H8</f>
        <v>1440.9086666666669</v>
      </c>
      <c r="I24" s="32"/>
      <c r="K24" s="9"/>
    </row>
    <row r="25" spans="1:13" x14ac:dyDescent="0.2">
      <c r="A25" s="31"/>
      <c r="B25" s="10"/>
      <c r="C25" s="4"/>
      <c r="D25" s="11"/>
      <c r="E25" s="11"/>
      <c r="F25" s="11"/>
      <c r="G25" s="11"/>
      <c r="H25" s="12"/>
      <c r="I25" s="32"/>
      <c r="K25" s="9"/>
    </row>
    <row r="26" spans="1:13" x14ac:dyDescent="0.2">
      <c r="A26" s="31" t="s">
        <v>45</v>
      </c>
      <c r="B26" s="10"/>
      <c r="C26" s="4"/>
      <c r="D26" s="11"/>
      <c r="E26" s="11"/>
      <c r="F26" s="11"/>
      <c r="G26" s="11"/>
      <c r="H26" s="12"/>
      <c r="I26" s="32"/>
      <c r="K26" s="9"/>
    </row>
    <row r="27" spans="1:13" x14ac:dyDescent="0.2">
      <c r="A27" s="31"/>
      <c r="B27" s="7" t="s">
        <v>28</v>
      </c>
      <c r="C27" s="7" t="s">
        <v>29</v>
      </c>
      <c r="D27" s="7" t="s">
        <v>11</v>
      </c>
      <c r="E27" s="7" t="s">
        <v>30</v>
      </c>
      <c r="F27" s="7" t="s">
        <v>46</v>
      </c>
      <c r="G27" s="7"/>
      <c r="H27" s="7" t="s">
        <v>33</v>
      </c>
      <c r="I27" s="32"/>
    </row>
    <row r="28" spans="1:13" x14ac:dyDescent="0.2">
      <c r="A28" s="31"/>
      <c r="B28" s="17"/>
      <c r="C28" s="68" t="s">
        <v>47</v>
      </c>
      <c r="D28" s="20" t="s">
        <v>48</v>
      </c>
      <c r="E28" s="19">
        <v>0.25</v>
      </c>
      <c r="F28" s="18">
        <v>35000</v>
      </c>
      <c r="G28" s="20"/>
      <c r="H28" s="18">
        <f>E28*F28</f>
        <v>8750</v>
      </c>
      <c r="I28" s="32"/>
    </row>
    <row r="29" spans="1:13" x14ac:dyDescent="0.2">
      <c r="A29" s="31"/>
      <c r="B29" s="17"/>
      <c r="C29" s="68" t="s">
        <v>49</v>
      </c>
      <c r="D29" s="20" t="s">
        <v>48</v>
      </c>
      <c r="E29" s="19">
        <v>1</v>
      </c>
      <c r="F29" s="18">
        <v>27500</v>
      </c>
      <c r="G29" s="61"/>
      <c r="H29" s="18">
        <f t="shared" ref="H29:H30" si="0">E29*F29</f>
        <v>27500</v>
      </c>
      <c r="I29" s="32"/>
    </row>
    <row r="30" spans="1:13" x14ac:dyDescent="0.2">
      <c r="A30" s="31"/>
      <c r="B30" s="17"/>
      <c r="C30" s="68" t="s">
        <v>50</v>
      </c>
      <c r="D30" s="20" t="s">
        <v>48</v>
      </c>
      <c r="E30" s="19">
        <v>1</v>
      </c>
      <c r="F30" s="18">
        <v>25000</v>
      </c>
      <c r="G30" s="61"/>
      <c r="H30" s="18">
        <f t="shared" si="0"/>
        <v>25000</v>
      </c>
      <c r="I30" s="32"/>
    </row>
    <row r="31" spans="1:13" x14ac:dyDescent="0.2">
      <c r="A31" s="31"/>
      <c r="B31" s="10"/>
      <c r="C31" s="4"/>
      <c r="D31" s="11"/>
      <c r="E31" s="11"/>
      <c r="F31" s="11"/>
      <c r="G31" s="29" t="s">
        <v>51</v>
      </c>
      <c r="H31" s="63">
        <f>SUM(H28:H30)</f>
        <v>61250</v>
      </c>
      <c r="I31" s="32"/>
    </row>
    <row r="32" spans="1:13" x14ac:dyDescent="0.2">
      <c r="A32" s="31"/>
      <c r="B32" s="10"/>
      <c r="C32" s="4"/>
      <c r="D32" s="11"/>
      <c r="E32" s="11"/>
      <c r="F32" s="11"/>
      <c r="G32" s="30"/>
      <c r="H32" s="12"/>
      <c r="I32" s="32"/>
    </row>
    <row r="33" spans="1:9" x14ac:dyDescent="0.2">
      <c r="A33" s="31"/>
      <c r="B33" s="10"/>
      <c r="C33" s="4"/>
      <c r="D33" s="11"/>
      <c r="E33" s="11"/>
      <c r="F33" s="11"/>
      <c r="G33" s="29" t="s">
        <v>52</v>
      </c>
      <c r="H33" s="63">
        <f>H31</f>
        <v>61250</v>
      </c>
      <c r="I33" s="32"/>
    </row>
    <row r="34" spans="1:9" x14ac:dyDescent="0.2">
      <c r="A34" s="31"/>
      <c r="B34" s="10"/>
      <c r="C34" s="4"/>
      <c r="D34" s="11"/>
      <c r="E34" s="64">
        <v>0.56999999999999995</v>
      </c>
      <c r="F34" s="11"/>
      <c r="G34" s="29" t="s">
        <v>53</v>
      </c>
      <c r="H34" s="65">
        <f>H33*E34</f>
        <v>34912.5</v>
      </c>
      <c r="I34" s="32"/>
    </row>
    <row r="35" spans="1:9" x14ac:dyDescent="0.2">
      <c r="A35" s="31"/>
      <c r="B35" s="10"/>
      <c r="C35" s="4"/>
      <c r="D35" s="11"/>
      <c r="E35" s="64">
        <v>0</v>
      </c>
      <c r="F35" s="11"/>
      <c r="G35" s="29" t="s">
        <v>54</v>
      </c>
      <c r="H35" s="63">
        <f>H33*E35</f>
        <v>0</v>
      </c>
      <c r="I35" s="32"/>
    </row>
    <row r="36" spans="1:9" x14ac:dyDescent="0.2">
      <c r="A36" s="31"/>
      <c r="B36" s="10"/>
      <c r="C36" s="4"/>
      <c r="D36" s="11"/>
      <c r="E36" s="11"/>
      <c r="F36" s="11"/>
      <c r="G36" s="30"/>
      <c r="H36" s="12"/>
      <c r="I36" s="32"/>
    </row>
    <row r="37" spans="1:9" x14ac:dyDescent="0.2">
      <c r="A37" s="31"/>
      <c r="B37" s="10"/>
      <c r="C37" s="4"/>
      <c r="D37" s="11"/>
      <c r="E37" s="11"/>
      <c r="F37" s="11"/>
      <c r="G37" s="29" t="s">
        <v>51</v>
      </c>
      <c r="H37" s="63">
        <f>H33+H34+H35</f>
        <v>96162.5</v>
      </c>
      <c r="I37" s="32"/>
    </row>
    <row r="38" spans="1:9" x14ac:dyDescent="0.2">
      <c r="A38" s="31"/>
      <c r="B38" s="10"/>
      <c r="C38" s="4"/>
      <c r="D38" s="11"/>
      <c r="E38" s="11"/>
      <c r="F38" s="11"/>
      <c r="G38" s="29" t="s">
        <v>55</v>
      </c>
      <c r="H38" s="66">
        <f>H37/H8</f>
        <v>16027.083333333334</v>
      </c>
      <c r="I38" s="32"/>
    </row>
    <row r="39" spans="1:9" x14ac:dyDescent="0.2">
      <c r="A39" s="31"/>
      <c r="B39" s="10"/>
      <c r="C39" s="4"/>
      <c r="D39" s="11"/>
      <c r="E39" s="11"/>
      <c r="F39" s="11"/>
      <c r="G39" s="30"/>
      <c r="H39" s="12"/>
      <c r="I39" s="32"/>
    </row>
    <row r="40" spans="1:9" x14ac:dyDescent="0.2">
      <c r="A40" s="31"/>
      <c r="B40" s="10"/>
      <c r="C40" s="4"/>
      <c r="D40" s="11"/>
      <c r="E40" s="11"/>
      <c r="F40" s="11"/>
      <c r="G40" s="29" t="s">
        <v>56</v>
      </c>
      <c r="H40" s="63">
        <f>H18+H24+H38</f>
        <v>882013.19200000016</v>
      </c>
      <c r="I40" s="32"/>
    </row>
    <row r="41" spans="1:9" x14ac:dyDescent="0.2">
      <c r="A41" s="31"/>
      <c r="B41" s="10"/>
      <c r="C41" s="4"/>
      <c r="D41" s="11"/>
      <c r="E41" s="11"/>
      <c r="F41" s="11"/>
      <c r="G41" s="11"/>
      <c r="H41" s="63"/>
      <c r="I41" s="32"/>
    </row>
    <row r="42" spans="1:9" x14ac:dyDescent="0.2">
      <c r="A42" s="31"/>
      <c r="B42" s="10"/>
      <c r="C42" s="4"/>
      <c r="D42" s="64">
        <v>0</v>
      </c>
      <c r="E42" s="11"/>
      <c r="F42" s="11"/>
      <c r="G42" s="27" t="s">
        <v>57</v>
      </c>
      <c r="H42" s="63">
        <f>D42*H40</f>
        <v>0</v>
      </c>
      <c r="I42" s="32"/>
    </row>
    <row r="43" spans="1:9" x14ac:dyDescent="0.2">
      <c r="A43" s="31"/>
      <c r="B43" s="10"/>
      <c r="C43" s="4"/>
      <c r="D43" s="11"/>
      <c r="E43" s="11"/>
      <c r="F43" s="11"/>
      <c r="G43" s="27" t="s">
        <v>58</v>
      </c>
      <c r="H43" s="63">
        <f>H40+H42</f>
        <v>882013.19200000016</v>
      </c>
      <c r="I43" s="32"/>
    </row>
    <row r="44" spans="1:9" x14ac:dyDescent="0.2">
      <c r="A44" s="31"/>
      <c r="B44" s="10"/>
      <c r="C44" s="4"/>
      <c r="D44" s="64">
        <v>0</v>
      </c>
      <c r="E44" s="11"/>
      <c r="F44" s="11"/>
      <c r="G44" s="27" t="s">
        <v>59</v>
      </c>
      <c r="H44" s="63">
        <f>D44*H43</f>
        <v>0</v>
      </c>
      <c r="I44" s="32"/>
    </row>
    <row r="45" spans="1:9" x14ac:dyDescent="0.2">
      <c r="A45" s="31"/>
      <c r="B45" s="10"/>
      <c r="C45" s="4"/>
      <c r="D45" s="11"/>
      <c r="E45" s="11"/>
      <c r="F45" s="11"/>
      <c r="G45" s="11"/>
      <c r="H45" s="12"/>
      <c r="I45" s="32"/>
    </row>
    <row r="46" spans="1:9" x14ac:dyDescent="0.2">
      <c r="A46" s="31"/>
      <c r="B46" s="10"/>
      <c r="C46" s="4"/>
      <c r="D46" s="11"/>
      <c r="E46" s="11"/>
      <c r="F46" s="11"/>
      <c r="H46" s="12"/>
      <c r="I46" s="32"/>
    </row>
    <row r="47" spans="1:9" x14ac:dyDescent="0.2">
      <c r="A47" s="31"/>
      <c r="B47" s="10"/>
      <c r="C47" s="4"/>
      <c r="D47" s="11"/>
      <c r="E47" s="11"/>
      <c r="F47" s="39"/>
      <c r="G47" s="40" t="s">
        <v>60</v>
      </c>
      <c r="H47" s="67">
        <f>H43+H44</f>
        <v>882013.19200000016</v>
      </c>
      <c r="I47" s="32"/>
    </row>
    <row r="48" spans="1:9" x14ac:dyDescent="0.2">
      <c r="A48" s="31"/>
      <c r="B48" s="10"/>
      <c r="C48" s="4"/>
      <c r="D48" s="11"/>
      <c r="E48" s="11"/>
      <c r="F48" s="39"/>
      <c r="G48" s="40" t="s">
        <v>61</v>
      </c>
      <c r="H48" s="67">
        <f>(H18+H24+(H38*H10))</f>
        <v>877152.70433183864</v>
      </c>
      <c r="I48" s="32"/>
    </row>
    <row r="49" spans="1:9" x14ac:dyDescent="0.2">
      <c r="A49" s="36"/>
      <c r="B49" s="37"/>
      <c r="C49" s="37"/>
      <c r="D49" s="37"/>
      <c r="E49" s="37"/>
      <c r="F49" s="37"/>
      <c r="G49" s="37"/>
      <c r="H49" s="37"/>
      <c r="I49" s="38"/>
    </row>
  </sheetData>
  <mergeCells count="1">
    <mergeCell ref="A7:I7"/>
  </mergeCells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6808848-0871-4F3F-BD02-80DACD0330E2}">
          <x14:formula1>
            <xm:f>'Factor Socioeconómico'!$C$3:$C$18</xm:f>
          </x14:formula1>
          <xm:sqref>F10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RESUMEN SIST. FV Off Grid</vt:lpstr>
      <vt:lpstr>INV. OFF</vt:lpstr>
      <vt:lpstr>VDF SOLAR</vt:lpstr>
      <vt:lpstr>VDF SOLAR 3F</vt:lpstr>
      <vt:lpstr>Bomba Solar</vt:lpstr>
      <vt:lpstr>Bomba Solar Pozo Profundo</vt:lpstr>
      <vt:lpstr>Cableado Bomba Solar Pozo P</vt:lpstr>
      <vt:lpstr>R.Carga</vt:lpstr>
      <vt:lpstr>BATERÍA AGM Y GEL</vt:lpstr>
      <vt:lpstr>BATERÍA LITIO</vt:lpstr>
      <vt:lpstr>BATERIA LITIO ENSAMBLADA</vt:lpstr>
      <vt:lpstr>T. CC</vt:lpstr>
      <vt:lpstr>Factor Socioeconómico</vt:lpstr>
      <vt:lpstr>'BATERÍA AGM Y GEL'!Área_de_impresión</vt:lpstr>
      <vt:lpstr>'BATERÍA LITIO'!Área_de_impresión</vt:lpstr>
      <vt:lpstr>'BATERIA LITIO ENSAMBLADA'!Área_de_impresión</vt:lpstr>
      <vt:lpstr>'Bomba Solar'!Área_de_impresión</vt:lpstr>
      <vt:lpstr>'Bomba Solar Pozo Profundo'!Área_de_impresión</vt:lpstr>
      <vt:lpstr>'Cableado Bomba Solar Pozo P'!Área_de_impresión</vt:lpstr>
      <vt:lpstr>'INV. OFF'!Área_de_impresión</vt:lpstr>
      <vt:lpstr>R.Carga!Área_de_impresión</vt:lpstr>
      <vt:lpstr>'RESUMEN SIST. FV Off Grid'!Área_de_impresión</vt:lpstr>
      <vt:lpstr>'T. CC'!Área_de_impresión</vt:lpstr>
      <vt:lpstr>'VDF SOLAR'!Área_de_impresión</vt:lpstr>
      <vt:lpstr>'VDF SOLAR 3F'!Área_de_impresión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Muñoz</dc:creator>
  <cp:keywords/>
  <dc:description/>
  <cp:lastModifiedBy>Valentina VM. Mulchi</cp:lastModifiedBy>
  <cp:revision/>
  <dcterms:created xsi:type="dcterms:W3CDTF">2019-04-22T12:49:28Z</dcterms:created>
  <dcterms:modified xsi:type="dcterms:W3CDTF">2024-09-13T15:28:06Z</dcterms:modified>
  <cp:category/>
  <cp:contentStatus/>
</cp:coreProperties>
</file>