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G:\Mi unidad\Pequeña agricultura\precios fotovoltaicos\"/>
    </mc:Choice>
  </mc:AlternateContent>
  <xr:revisionPtr revIDLastSave="0" documentId="13_ncr:1_{109F5A15-B0EF-4AAB-907F-59D2935B28CC}" xr6:coauthVersionLast="47" xr6:coauthVersionMax="47" xr10:uidLastSave="{00000000-0000-0000-0000-000000000000}"/>
  <bookViews>
    <workbookView xWindow="20370" yWindow="-4710" windowWidth="29040" windowHeight="15720" xr2:uid="{00000000-000D-0000-FFFF-FFFF00000000}"/>
  </bookViews>
  <sheets>
    <sheet name="RESUMEN SIST. FV On Grid" sheetId="79" r:id="rId1"/>
    <sheet name="Est. Techo" sheetId="52" r:id="rId2"/>
    <sheet name="Est. Suelo" sheetId="40" r:id="rId3"/>
    <sheet name="Fund. Hormigon" sheetId="64" r:id="rId4"/>
    <sheet name="Fund. Tornillo" sheetId="65" r:id="rId5"/>
    <sheet name="Paneles Techo H&lt; 4m" sheetId="48" r:id="rId6"/>
    <sheet name="Paneles Techo H&gt;4m" sheetId="80" r:id="rId7"/>
    <sheet name="Paneles Suelo" sheetId="70" r:id="rId8"/>
    <sheet name="Inversor 3F 10-50 kVA" sheetId="83" r:id="rId9"/>
    <sheet name="Inversor 3F 50-100kVA" sheetId="49" r:id="rId10"/>
    <sheet name="Inversor 1F" sheetId="53" r:id="rId11"/>
    <sheet name="Micro Inv." sheetId="74" r:id="rId12"/>
    <sheet name="Pasillo Técnico" sheetId="84" r:id="rId13"/>
    <sheet name="Canalización DC" sheetId="44" r:id="rId14"/>
    <sheet name="Canalización DC Sot." sheetId="71" r:id="rId15"/>
    <sheet name="T. AC 1F 1-10kW" sheetId="56" r:id="rId16"/>
    <sheet name="T. AC 3F 8-50kVA" sheetId="66" r:id="rId17"/>
    <sheet name="T. AC 3F 50-100kVA" sheetId="67" r:id="rId18"/>
    <sheet name="T. AC 3F 100-150kVA" sheetId="62" r:id="rId19"/>
    <sheet name="T. AC 3F 150-200kVA" sheetId="68" r:id="rId20"/>
    <sheet name="T. AC 3F 200-300kVA " sheetId="69" r:id="rId21"/>
    <sheet name="P. RI" sheetId="57" r:id="rId22"/>
    <sheet name="C. RI" sheetId="72" r:id="rId23"/>
    <sheet name="C. RI SO" sheetId="73" r:id="rId24"/>
    <sheet name="Medición 1 F" sheetId="82" r:id="rId25"/>
    <sheet name="Medidor Bidireccional 3F" sheetId="86" r:id="rId26"/>
    <sheet name="Medidor Bidireccional 1F" sheetId="78" r:id="rId27"/>
    <sheet name="MEDICIÓN 3F DIRECTA" sheetId="75" r:id="rId28"/>
    <sheet name="MEDICIÓN 3F INDIRECTA" sheetId="76" r:id="rId29"/>
    <sheet name="MEDICIÓN 3F Semi directa" sheetId="77" r:id="rId30"/>
    <sheet name="Factor Socioeconómico" sheetId="81" r:id="rId31"/>
  </sheets>
  <definedNames>
    <definedName name="_xlnm.Print_Area" localSheetId="22">'C. RI'!$A$1:$I$49</definedName>
    <definedName name="_xlnm.Print_Area" localSheetId="23">'C. RI SO'!$A$1:$I$51</definedName>
    <definedName name="_xlnm.Print_Area" localSheetId="13">'Canalización DC'!$A$1:$I$50</definedName>
    <definedName name="_xlnm.Print_Area" localSheetId="14">'Canalización DC Sot.'!$A$1:$I$52</definedName>
    <definedName name="_xlnm.Print_Area" localSheetId="2">'Est. Suelo'!$A$1:$I$65</definedName>
    <definedName name="_xlnm.Print_Area" localSheetId="1">'Est. Techo'!$A$1:$I$55</definedName>
    <definedName name="_xlnm.Print_Area" localSheetId="3">'Fund. Hormigon'!$A$1:$I$47</definedName>
    <definedName name="_xlnm.Print_Area" localSheetId="4">'Fund. Tornillo'!$A$1:$I$46</definedName>
    <definedName name="_xlnm.Print_Area" localSheetId="10">'Inversor 1F'!$A$1:$I$47</definedName>
    <definedName name="_xlnm.Print_Area" localSheetId="8">'Inversor 3F 10-50 kVA'!$A$1:$I$47</definedName>
    <definedName name="_xlnm.Print_Area" localSheetId="9">'Inversor 3F 50-100kVA'!$A$1:$I$47</definedName>
    <definedName name="_xlnm.Print_Area" localSheetId="24">'Medición 1 F'!$A$1:$I$53</definedName>
    <definedName name="_xlnm.Print_Area" localSheetId="27">'MEDICIÓN 3F DIRECTA'!$A$1:$I$58</definedName>
    <definedName name="_xlnm.Print_Area" localSheetId="28">'MEDICIÓN 3F INDIRECTA'!$A$1:$I$88</definedName>
    <definedName name="_xlnm.Print_Area" localSheetId="29">'MEDICIÓN 3F Semi directa'!$A$1:$I$64</definedName>
    <definedName name="_xlnm.Print_Area" localSheetId="26">'Medidor Bidireccional 1F'!$A$1:$I$53</definedName>
    <definedName name="_xlnm.Print_Area" localSheetId="25">'Medidor Bidireccional 3F'!$A$1:$I$53</definedName>
    <definedName name="_xlnm.Print_Area" localSheetId="11">'Micro Inv.'!$A$1:$I$47</definedName>
    <definedName name="_xlnm.Print_Area" localSheetId="21">'P. RI'!$A$1:$I$49</definedName>
    <definedName name="_xlnm.Print_Area" localSheetId="7">'Paneles Suelo'!$A$1:$I$48</definedName>
    <definedName name="_xlnm.Print_Area" localSheetId="5">'Paneles Techo H&lt; 4m'!$A$1:$I$50</definedName>
    <definedName name="_xlnm.Print_Area" localSheetId="6">'Paneles Techo H&gt;4m'!$A$1:$I$50</definedName>
    <definedName name="_xlnm.Print_Area" localSheetId="12">'Pasillo Técnico'!$A$1:$I$50</definedName>
    <definedName name="_xlnm.Print_Area" localSheetId="0">'RESUMEN SIST. FV On Grid'!$A$1:$I$41</definedName>
    <definedName name="_xlnm.Print_Area" localSheetId="15">'T. AC 1F 1-10kW'!$A$1:$I$51</definedName>
    <definedName name="_xlnm.Print_Area" localSheetId="18">'T. AC 3F 100-150kVA'!$A$1:$I$54</definedName>
    <definedName name="_xlnm.Print_Area" localSheetId="19">'T. AC 3F 150-200kVA'!$A$1:$I$54</definedName>
    <definedName name="_xlnm.Print_Area" localSheetId="20">'T. AC 3F 200-300kVA '!$A$1:$I$54</definedName>
    <definedName name="_xlnm.Print_Area" localSheetId="17">'T. AC 3F 50-100kVA'!$A$1:$I$53</definedName>
    <definedName name="_xlnm.Print_Area" localSheetId="16">'T. AC 3F 8-50kVA'!$A$1:$I$51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68" l="1"/>
  <c r="H42" i="68"/>
  <c r="H32" i="84"/>
  <c r="H24" i="84"/>
  <c r="H19" i="84"/>
  <c r="H18" i="84"/>
  <c r="H9" i="77"/>
  <c r="F9" i="77"/>
  <c r="H9" i="76"/>
  <c r="F9" i="76"/>
  <c r="H9" i="75"/>
  <c r="F9" i="75"/>
  <c r="H9" i="78"/>
  <c r="F9" i="78"/>
  <c r="G13" i="78" s="1"/>
  <c r="H9" i="86"/>
  <c r="F9" i="86"/>
  <c r="G13" i="86" s="1"/>
  <c r="H9" i="82"/>
  <c r="F9" i="82"/>
  <c r="G13" i="82" s="1"/>
  <c r="H9" i="73"/>
  <c r="F9" i="73"/>
  <c r="G16" i="73" s="1"/>
  <c r="H9" i="72"/>
  <c r="F9" i="72"/>
  <c r="G16" i="72" s="1"/>
  <c r="H9" i="57"/>
  <c r="F9" i="57"/>
  <c r="G14" i="57" s="1"/>
  <c r="H9" i="69"/>
  <c r="F9" i="69"/>
  <c r="H9" i="68"/>
  <c r="F9" i="68"/>
  <c r="H9" i="62"/>
  <c r="F9" i="62"/>
  <c r="H9" i="67"/>
  <c r="F9" i="67"/>
  <c r="H9" i="66"/>
  <c r="F9" i="66"/>
  <c r="H9" i="56"/>
  <c r="F9" i="56"/>
  <c r="H9" i="71"/>
  <c r="F9" i="71"/>
  <c r="H9" i="44"/>
  <c r="F9" i="44"/>
  <c r="H9" i="84"/>
  <c r="F9" i="84"/>
  <c r="H9" i="74"/>
  <c r="F9" i="74"/>
  <c r="G14" i="74" s="1"/>
  <c r="H9" i="53"/>
  <c r="F9" i="53"/>
  <c r="H9" i="49"/>
  <c r="F9" i="49"/>
  <c r="H9" i="83"/>
  <c r="F9" i="83"/>
  <c r="H9" i="70"/>
  <c r="F9" i="70"/>
  <c r="H9" i="80"/>
  <c r="F9" i="80"/>
  <c r="H9" i="48"/>
  <c r="F9" i="48"/>
  <c r="H9" i="65"/>
  <c r="F9" i="65"/>
  <c r="H9" i="64"/>
  <c r="F9" i="64"/>
  <c r="H9" i="40"/>
  <c r="F9" i="40"/>
  <c r="H9" i="52"/>
  <c r="F9" i="52"/>
  <c r="H53" i="52"/>
  <c r="C36" i="79"/>
  <c r="C35" i="79"/>
  <c r="C34" i="79"/>
  <c r="H21" i="86"/>
  <c r="L23" i="75"/>
  <c r="M27" i="75" s="1"/>
  <c r="N23" i="75"/>
  <c r="H34" i="86"/>
  <c r="H33" i="86"/>
  <c r="E32" i="86"/>
  <c r="H32" i="86" s="1"/>
  <c r="E31" i="86"/>
  <c r="H31" i="86" s="1"/>
  <c r="H35" i="86" s="1"/>
  <c r="H37" i="86" s="1"/>
  <c r="F10" i="86"/>
  <c r="A4" i="86"/>
  <c r="A3" i="86"/>
  <c r="C23" i="79"/>
  <c r="D19" i="79"/>
  <c r="C19" i="79"/>
  <c r="H15" i="84"/>
  <c r="G14" i="84"/>
  <c r="H14" i="84" s="1"/>
  <c r="H31" i="84"/>
  <c r="H30" i="84"/>
  <c r="H29" i="84"/>
  <c r="F10" i="84"/>
  <c r="A4" i="84"/>
  <c r="A3" i="84"/>
  <c r="G14" i="83"/>
  <c r="H14" i="83" s="1"/>
  <c r="H15" i="83" s="1"/>
  <c r="H16" i="83" s="1"/>
  <c r="H29" i="83"/>
  <c r="H31" i="83" s="1"/>
  <c r="H28" i="83"/>
  <c r="H27" i="83"/>
  <c r="H26" i="83"/>
  <c r="F10" i="83"/>
  <c r="A4" i="83"/>
  <c r="A3" i="83"/>
  <c r="G14" i="82" l="1"/>
  <c r="H39" i="86"/>
  <c r="H38" i="86"/>
  <c r="H41" i="86"/>
  <c r="H42" i="86" s="1"/>
  <c r="H22" i="86"/>
  <c r="F26" i="86"/>
  <c r="H26" i="86" s="1"/>
  <c r="H27" i="86" s="1"/>
  <c r="H28" i="86" s="1"/>
  <c r="H34" i="84"/>
  <c r="H35" i="84" s="1"/>
  <c r="F23" i="84"/>
  <c r="H23" i="84" s="1"/>
  <c r="H25" i="84" s="1"/>
  <c r="H36" i="84"/>
  <c r="F20" i="83"/>
  <c r="H20" i="83" s="1"/>
  <c r="H21" i="83" s="1"/>
  <c r="H22" i="83" s="1"/>
  <c r="H33" i="83"/>
  <c r="H35" i="83" s="1"/>
  <c r="H36" i="83" s="1"/>
  <c r="H32" i="83"/>
  <c r="H44" i="86" l="1"/>
  <c r="H38" i="84"/>
  <c r="H39" i="84" s="1"/>
  <c r="H41" i="84" s="1"/>
  <c r="H38" i="83"/>
  <c r="H46" i="86" l="1"/>
  <c r="H47" i="86" s="1"/>
  <c r="H43" i="84"/>
  <c r="H44" i="84" s="1"/>
  <c r="H40" i="83"/>
  <c r="H41" i="83"/>
  <c r="H48" i="86" l="1"/>
  <c r="H51" i="86" s="1"/>
  <c r="H45" i="84"/>
  <c r="H48" i="84" s="1"/>
  <c r="H42" i="83"/>
  <c r="H45" i="83"/>
  <c r="E32" i="78" l="1"/>
  <c r="E31" i="78"/>
  <c r="H34" i="82"/>
  <c r="H33" i="82"/>
  <c r="H32" i="82"/>
  <c r="H31" i="82"/>
  <c r="H35" i="82" s="1"/>
  <c r="H37" i="82" s="1"/>
  <c r="G20" i="82"/>
  <c r="H20" i="82" s="1"/>
  <c r="H19" i="82"/>
  <c r="H18" i="82"/>
  <c r="H17" i="82"/>
  <c r="H16" i="82"/>
  <c r="H15" i="82"/>
  <c r="H14" i="82"/>
  <c r="H13" i="82"/>
  <c r="F10" i="82"/>
  <c r="A4" i="82"/>
  <c r="A3" i="82"/>
  <c r="H21" i="82" l="1"/>
  <c r="F26" i="82" s="1"/>
  <c r="H26" i="82" s="1"/>
  <c r="H27" i="82" s="1"/>
  <c r="H28" i="82" s="1"/>
  <c r="H22" i="82"/>
  <c r="H39" i="82"/>
  <c r="H41" i="82"/>
  <c r="H42" i="82" s="1"/>
  <c r="H38" i="82"/>
  <c r="G17" i="67"/>
  <c r="H49" i="56"/>
  <c r="F10" i="52"/>
  <c r="H44" i="82" l="1"/>
  <c r="G20" i="76"/>
  <c r="G17" i="69"/>
  <c r="G15" i="69"/>
  <c r="G15" i="68"/>
  <c r="G17" i="68"/>
  <c r="G17" i="62"/>
  <c r="G15" i="62"/>
  <c r="G15" i="67"/>
  <c r="G15" i="66"/>
  <c r="G14" i="53"/>
  <c r="G14" i="49"/>
  <c r="G15" i="80"/>
  <c r="G15" i="48"/>
  <c r="G15" i="65"/>
  <c r="H46" i="82" l="1"/>
  <c r="H47" i="82" s="1"/>
  <c r="A4" i="77"/>
  <c r="A3" i="77"/>
  <c r="A4" i="76"/>
  <c r="A3" i="76"/>
  <c r="A4" i="75"/>
  <c r="A3" i="75"/>
  <c r="A4" i="78"/>
  <c r="A3" i="78"/>
  <c r="A4" i="73"/>
  <c r="A3" i="73"/>
  <c r="A4" i="72"/>
  <c r="A3" i="72"/>
  <c r="A4" i="57"/>
  <c r="A3" i="57"/>
  <c r="A4" i="69"/>
  <c r="A3" i="69"/>
  <c r="A4" i="68"/>
  <c r="A3" i="68"/>
  <c r="A4" i="62"/>
  <c r="A3" i="62"/>
  <c r="A4" i="67"/>
  <c r="A3" i="67"/>
  <c r="A4" i="66"/>
  <c r="A3" i="66"/>
  <c r="A4" i="56"/>
  <c r="A3" i="56"/>
  <c r="A4" i="71"/>
  <c r="A3" i="71"/>
  <c r="A4" i="44"/>
  <c r="A3" i="44"/>
  <c r="A4" i="74"/>
  <c r="A3" i="74"/>
  <c r="A4" i="53"/>
  <c r="A3" i="53"/>
  <c r="A4" i="49"/>
  <c r="A3" i="49"/>
  <c r="A4" i="70"/>
  <c r="A3" i="70"/>
  <c r="A4" i="80"/>
  <c r="A3" i="80"/>
  <c r="A4" i="48"/>
  <c r="A3" i="48"/>
  <c r="A4" i="65"/>
  <c r="A3" i="65"/>
  <c r="A4" i="64"/>
  <c r="A3" i="64"/>
  <c r="A4" i="40"/>
  <c r="A3" i="40"/>
  <c r="A4" i="52"/>
  <c r="A3" i="52"/>
  <c r="F10" i="77"/>
  <c r="F10" i="76"/>
  <c r="F10" i="75"/>
  <c r="F10" i="78"/>
  <c r="F10" i="73"/>
  <c r="F10" i="72"/>
  <c r="F10" i="69"/>
  <c r="F10" i="68"/>
  <c r="F10" i="62"/>
  <c r="F10" i="67"/>
  <c r="G16" i="66"/>
  <c r="F10" i="66"/>
  <c r="F10" i="56"/>
  <c r="F10" i="71"/>
  <c r="F10" i="44"/>
  <c r="F10" i="74"/>
  <c r="F10" i="53"/>
  <c r="F10" i="49"/>
  <c r="F10" i="70"/>
  <c r="F10" i="80"/>
  <c r="F10" i="48"/>
  <c r="F10" i="65"/>
  <c r="F10" i="64"/>
  <c r="F10" i="40"/>
  <c r="H9" i="79"/>
  <c r="H10" i="86" s="1"/>
  <c r="H52" i="86" s="1"/>
  <c r="F35" i="79" s="1"/>
  <c r="E35" i="79" s="1"/>
  <c r="E18" i="81"/>
  <c r="E17" i="81"/>
  <c r="E16" i="81"/>
  <c r="E15" i="81"/>
  <c r="E14" i="81"/>
  <c r="E13" i="81"/>
  <c r="E12" i="81"/>
  <c r="E11" i="81"/>
  <c r="E10" i="81"/>
  <c r="E9" i="81"/>
  <c r="E8" i="81"/>
  <c r="E7" i="81"/>
  <c r="E6" i="81"/>
  <c r="E5" i="81"/>
  <c r="E4" i="81"/>
  <c r="E3" i="81"/>
  <c r="H24" i="75"/>
  <c r="D17" i="79"/>
  <c r="H10" i="84" l="1"/>
  <c r="H49" i="84" s="1"/>
  <c r="F23" i="79" s="1"/>
  <c r="E23" i="79" s="1"/>
  <c r="H10" i="83"/>
  <c r="H46" i="83" s="1"/>
  <c r="F19" i="79" s="1"/>
  <c r="E19" i="79" s="1"/>
  <c r="H10" i="82"/>
  <c r="H52" i="82" s="1"/>
  <c r="F36" i="79" s="1"/>
  <c r="E36" i="79" s="1"/>
  <c r="H48" i="82"/>
  <c r="H51" i="82" s="1"/>
  <c r="M24" i="82" s="1"/>
  <c r="O24" i="82" s="1"/>
  <c r="N28" i="82" s="1"/>
  <c r="H10" i="77"/>
  <c r="H63" i="77" s="1"/>
  <c r="F39" i="79" s="1"/>
  <c r="E39" i="79" s="1"/>
  <c r="H10" i="52"/>
  <c r="H54" i="52" s="1"/>
  <c r="F12" i="79" s="1"/>
  <c r="E12" i="79" s="1"/>
  <c r="H10" i="65"/>
  <c r="H10" i="49"/>
  <c r="H10" i="71"/>
  <c r="H51" i="71" s="1"/>
  <c r="F25" i="79" s="1"/>
  <c r="E25" i="79" s="1"/>
  <c r="H10" i="72"/>
  <c r="H10" i="78"/>
  <c r="H10" i="62"/>
  <c r="H10" i="69"/>
  <c r="H10" i="67"/>
  <c r="H10" i="68"/>
  <c r="H10" i="40"/>
  <c r="H64" i="40" s="1"/>
  <c r="F13" i="79" s="1"/>
  <c r="E13" i="79" s="1"/>
  <c r="H10" i="80"/>
  <c r="H10" i="74"/>
  <c r="H10" i="66"/>
  <c r="H10" i="76"/>
  <c r="H87" i="76" s="1"/>
  <c r="F38" i="79" s="1"/>
  <c r="E38" i="79" s="1"/>
  <c r="H10" i="64"/>
  <c r="H46" i="64" s="1"/>
  <c r="F14" i="79" s="1"/>
  <c r="E14" i="79" s="1"/>
  <c r="H10" i="48"/>
  <c r="H10" i="70"/>
  <c r="H10" i="53"/>
  <c r="H10" i="44"/>
  <c r="H49" i="44" s="1"/>
  <c r="F24" i="79" s="1"/>
  <c r="E24" i="79" s="1"/>
  <c r="H10" i="56"/>
  <c r="H50" i="56" s="1"/>
  <c r="F26" i="79" s="1"/>
  <c r="E26" i="79" s="1"/>
  <c r="H10" i="57"/>
  <c r="H10" i="73"/>
  <c r="H50" i="73" s="1"/>
  <c r="F33" i="79" s="1"/>
  <c r="E33" i="79" s="1"/>
  <c r="H10" i="75"/>
  <c r="H57" i="75" s="1"/>
  <c r="F37" i="79" s="1"/>
  <c r="E37" i="79" s="1"/>
  <c r="E19" i="67"/>
  <c r="H19" i="67"/>
  <c r="E16" i="67"/>
  <c r="E17" i="67"/>
  <c r="E18" i="67"/>
  <c r="E20" i="67"/>
  <c r="E15" i="67"/>
  <c r="E21" i="62"/>
  <c r="E17" i="62"/>
  <c r="E18" i="62"/>
  <c r="E19" i="62"/>
  <c r="E20" i="62"/>
  <c r="E16" i="62"/>
  <c r="E15" i="62"/>
  <c r="H16" i="67"/>
  <c r="J15" i="80"/>
  <c r="J15" i="48"/>
  <c r="L36" i="48"/>
  <c r="M25" i="48"/>
  <c r="N25" i="48" s="1"/>
  <c r="N27" i="48" s="1"/>
  <c r="H15" i="67" l="1"/>
  <c r="E20" i="68"/>
  <c r="H20" i="68" s="1"/>
  <c r="H16" i="68"/>
  <c r="H15" i="68"/>
  <c r="H20" i="62"/>
  <c r="H8" i="80"/>
  <c r="L36" i="80"/>
  <c r="E28" i="80"/>
  <c r="E31" i="80"/>
  <c r="E30" i="80"/>
  <c r="E29" i="80"/>
  <c r="M25" i="80" l="1"/>
  <c r="N25" i="80" s="1"/>
  <c r="N27" i="80" s="1"/>
  <c r="H31" i="80"/>
  <c r="H30" i="80"/>
  <c r="H29" i="80"/>
  <c r="H28" i="80"/>
  <c r="H22" i="80"/>
  <c r="H15" i="80"/>
  <c r="H16" i="80" s="1"/>
  <c r="F21" i="80" s="1"/>
  <c r="H21" i="80" s="1"/>
  <c r="H23" i="80" l="1"/>
  <c r="H24" i="80" s="1"/>
  <c r="H32" i="80"/>
  <c r="H34" i="80" s="1"/>
  <c r="H35" i="80" s="1"/>
  <c r="H17" i="80"/>
  <c r="H49" i="80" s="1"/>
  <c r="F17" i="79" s="1"/>
  <c r="E17" i="79" s="1"/>
  <c r="H36" i="80" l="1"/>
  <c r="H38" i="80" s="1"/>
  <c r="H39" i="80" s="1"/>
  <c r="H41" i="80" s="1"/>
  <c r="H43" i="80" l="1"/>
  <c r="H44" i="80" s="1"/>
  <c r="H45" i="80" l="1"/>
  <c r="H48" i="80" s="1"/>
  <c r="D36" i="79" l="1"/>
  <c r="D33" i="79" l="1"/>
  <c r="C33" i="79"/>
  <c r="D32" i="79"/>
  <c r="C32" i="79"/>
  <c r="D31" i="79"/>
  <c r="C31" i="79"/>
  <c r="D30" i="79"/>
  <c r="C30" i="79"/>
  <c r="D29" i="79"/>
  <c r="C29" i="79"/>
  <c r="D28" i="79"/>
  <c r="C28" i="79"/>
  <c r="D27" i="79"/>
  <c r="C27" i="79"/>
  <c r="D26" i="79"/>
  <c r="C26" i="79"/>
  <c r="D25" i="79"/>
  <c r="C25" i="79"/>
  <c r="D24" i="79"/>
  <c r="C24" i="79"/>
  <c r="D22" i="79"/>
  <c r="C22" i="79"/>
  <c r="D21" i="79"/>
  <c r="C21" i="79"/>
  <c r="D20" i="79"/>
  <c r="C20" i="79"/>
  <c r="D18" i="79"/>
  <c r="C18" i="79"/>
  <c r="D16" i="79"/>
  <c r="C16" i="79"/>
  <c r="D15" i="79"/>
  <c r="C15" i="79"/>
  <c r="D14" i="79"/>
  <c r="C14" i="79"/>
  <c r="D13" i="79"/>
  <c r="C13" i="79"/>
  <c r="D12" i="79"/>
  <c r="C12" i="79"/>
  <c r="H45" i="77"/>
  <c r="H44" i="77"/>
  <c r="H43" i="77"/>
  <c r="E42" i="77"/>
  <c r="H42" i="77" s="1"/>
  <c r="H69" i="76"/>
  <c r="H68" i="76"/>
  <c r="H67" i="76"/>
  <c r="E66" i="76"/>
  <c r="H66" i="76" s="1"/>
  <c r="H55" i="76"/>
  <c r="H39" i="75"/>
  <c r="H38" i="75"/>
  <c r="H37" i="75"/>
  <c r="E36" i="75"/>
  <c r="H36" i="75" s="1"/>
  <c r="H34" i="78"/>
  <c r="H33" i="78"/>
  <c r="H32" i="78"/>
  <c r="H31" i="78"/>
  <c r="H13" i="78"/>
  <c r="H17" i="73"/>
  <c r="H16" i="72"/>
  <c r="H15" i="72"/>
  <c r="H15" i="57"/>
  <c r="H16" i="57"/>
  <c r="H14" i="57"/>
  <c r="H17" i="67"/>
  <c r="H16" i="66"/>
  <c r="H17" i="62"/>
  <c r="H17" i="69"/>
  <c r="H16" i="69"/>
  <c r="H18" i="69"/>
  <c r="H19" i="69"/>
  <c r="H20" i="69"/>
  <c r="H21" i="69"/>
  <c r="H15" i="69"/>
  <c r="H17" i="68"/>
  <c r="H18" i="68"/>
  <c r="H19" i="68"/>
  <c r="H21" i="68"/>
  <c r="H15" i="62"/>
  <c r="H19" i="62"/>
  <c r="H21" i="62"/>
  <c r="H18" i="62"/>
  <c r="H16" i="62"/>
  <c r="H20" i="67"/>
  <c r="H18" i="67"/>
  <c r="H17" i="66"/>
  <c r="H18" i="66"/>
  <c r="H15" i="66"/>
  <c r="H32" i="73"/>
  <c r="H31" i="73"/>
  <c r="H30" i="73"/>
  <c r="E29" i="73"/>
  <c r="H29" i="73" s="1"/>
  <c r="E22" i="73"/>
  <c r="H22" i="73" s="1"/>
  <c r="H30" i="57"/>
  <c r="H29" i="57"/>
  <c r="H28" i="57"/>
  <c r="H30" i="72"/>
  <c r="H29" i="72"/>
  <c r="H28" i="72"/>
  <c r="H35" i="69"/>
  <c r="H34" i="69"/>
  <c r="H33" i="69"/>
  <c r="H36" i="69" s="1"/>
  <c r="H38" i="69" s="1"/>
  <c r="H35" i="68"/>
  <c r="H34" i="68"/>
  <c r="H33" i="68"/>
  <c r="H35" i="62"/>
  <c r="H34" i="62"/>
  <c r="H33" i="62"/>
  <c r="H34" i="67"/>
  <c r="H33" i="67"/>
  <c r="H32" i="67"/>
  <c r="H32" i="66"/>
  <c r="H31" i="66"/>
  <c r="H30" i="66"/>
  <c r="H16" i="56"/>
  <c r="H17" i="56"/>
  <c r="H18" i="56"/>
  <c r="H15" i="56"/>
  <c r="H32" i="56"/>
  <c r="H31" i="56"/>
  <c r="H30" i="56"/>
  <c r="H33" i="56" s="1"/>
  <c r="H35" i="56" s="1"/>
  <c r="H14" i="74"/>
  <c r="H15" i="74" s="1"/>
  <c r="H16" i="74" s="1"/>
  <c r="H14" i="49"/>
  <c r="H15" i="49" s="1"/>
  <c r="H16" i="49" s="1"/>
  <c r="G14" i="70"/>
  <c r="H14" i="70" s="1"/>
  <c r="H15" i="70" s="1"/>
  <c r="H16" i="70" s="1"/>
  <c r="H15" i="65"/>
  <c r="H16" i="65" s="1"/>
  <c r="H17" i="65" s="1"/>
  <c r="H45" i="65" s="1"/>
  <c r="F15" i="79" s="1"/>
  <c r="E15" i="79" s="1"/>
  <c r="H15" i="48"/>
  <c r="H16" i="48" s="1"/>
  <c r="F21" i="48" s="1"/>
  <c r="H17" i="71"/>
  <c r="H16" i="71"/>
  <c r="H15" i="71"/>
  <c r="H14" i="71"/>
  <c r="H33" i="71"/>
  <c r="H32" i="71"/>
  <c r="H31" i="71"/>
  <c r="E30" i="71"/>
  <c r="H30" i="71" s="1"/>
  <c r="E23" i="71"/>
  <c r="H23" i="71" s="1"/>
  <c r="H16" i="44"/>
  <c r="H15" i="44"/>
  <c r="H17" i="44"/>
  <c r="H14" i="44"/>
  <c r="H31" i="44"/>
  <c r="H30" i="44"/>
  <c r="H29" i="44"/>
  <c r="H28" i="74"/>
  <c r="H27" i="74"/>
  <c r="H26" i="74"/>
  <c r="H29" i="74" s="1"/>
  <c r="H31" i="74" s="1"/>
  <c r="H28" i="53"/>
  <c r="H27" i="53"/>
  <c r="H26" i="53"/>
  <c r="H29" i="53" s="1"/>
  <c r="H31" i="53" s="1"/>
  <c r="H14" i="53"/>
  <c r="H15" i="53" s="1"/>
  <c r="H27" i="49"/>
  <c r="H28" i="49"/>
  <c r="H26" i="49"/>
  <c r="H29" i="49" s="1"/>
  <c r="H31" i="49" s="1"/>
  <c r="H27" i="70"/>
  <c r="H28" i="70"/>
  <c r="H29" i="70"/>
  <c r="H26" i="70"/>
  <c r="H44" i="40"/>
  <c r="H45" i="40"/>
  <c r="H46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15" i="40"/>
  <c r="H22" i="65"/>
  <c r="F27" i="65"/>
  <c r="H27" i="65" s="1"/>
  <c r="H28" i="65" s="1"/>
  <c r="H30" i="65" s="1"/>
  <c r="H31" i="48"/>
  <c r="H30" i="48"/>
  <c r="H29" i="48"/>
  <c r="H28" i="48"/>
  <c r="H22" i="48"/>
  <c r="H28" i="64"/>
  <c r="H27" i="64"/>
  <c r="H26" i="64"/>
  <c r="H20" i="64"/>
  <c r="H21" i="64" s="1"/>
  <c r="H22" i="64" s="1"/>
  <c r="H14" i="64"/>
  <c r="H15" i="64" s="1"/>
  <c r="H16" i="64" s="1"/>
  <c r="H36" i="52"/>
  <c r="H35" i="52"/>
  <c r="H34" i="52"/>
  <c r="H33" i="52"/>
  <c r="H16" i="52"/>
  <c r="H17" i="52"/>
  <c r="H18" i="52"/>
  <c r="H19" i="52"/>
  <c r="H20" i="52"/>
  <c r="H21" i="52"/>
  <c r="H15" i="52"/>
  <c r="F20" i="70" l="1"/>
  <c r="H20" i="70" s="1"/>
  <c r="H21" i="70" s="1"/>
  <c r="H22" i="70" s="1"/>
  <c r="H47" i="70" s="1"/>
  <c r="F18" i="79" s="1"/>
  <c r="E18" i="79" s="1"/>
  <c r="H70" i="76"/>
  <c r="H72" i="76" s="1"/>
  <c r="H32" i="48"/>
  <c r="H34" i="48" s="1"/>
  <c r="H29" i="64"/>
  <c r="H31" i="64" s="1"/>
  <c r="H46" i="77"/>
  <c r="H48" i="77" s="1"/>
  <c r="H33" i="73"/>
  <c r="H35" i="73" s="1"/>
  <c r="H31" i="72"/>
  <c r="H33" i="72" s="1"/>
  <c r="H31" i="57"/>
  <c r="H33" i="57" s="1"/>
  <c r="H22" i="69"/>
  <c r="H36" i="62"/>
  <c r="H38" i="62" s="1"/>
  <c r="H33" i="66"/>
  <c r="H35" i="66" s="1"/>
  <c r="H19" i="56"/>
  <c r="H34" i="71"/>
  <c r="H36" i="71" s="1"/>
  <c r="H37" i="71" s="1"/>
  <c r="H40" i="71" s="1"/>
  <c r="H41" i="71" s="1"/>
  <c r="H18" i="71"/>
  <c r="H18" i="44"/>
  <c r="H19" i="44" s="1"/>
  <c r="H16" i="53"/>
  <c r="H30" i="70"/>
  <c r="H32" i="70" s="1"/>
  <c r="H34" i="70" s="1"/>
  <c r="H32" i="40"/>
  <c r="F37" i="40" s="1"/>
  <c r="H22" i="52"/>
  <c r="F27" i="52" s="1"/>
  <c r="H27" i="52" s="1"/>
  <c r="H40" i="75"/>
  <c r="H42" i="75" s="1"/>
  <c r="H44" i="75" s="1"/>
  <c r="H25" i="75"/>
  <c r="H26" i="75" s="1"/>
  <c r="H35" i="78"/>
  <c r="H37" i="78" s="1"/>
  <c r="H21" i="78"/>
  <c r="H22" i="78" s="1"/>
  <c r="H35" i="67"/>
  <c r="H37" i="67" s="1"/>
  <c r="H38" i="67" s="1"/>
  <c r="H31" i="77"/>
  <c r="F36" i="77" s="1"/>
  <c r="H36" i="77" s="1"/>
  <c r="H37" i="77" s="1"/>
  <c r="H38" i="77" s="1"/>
  <c r="H36" i="68"/>
  <c r="H38" i="68" s="1"/>
  <c r="H32" i="64"/>
  <c r="H32" i="49"/>
  <c r="H32" i="44"/>
  <c r="H34" i="44" s="1"/>
  <c r="H36" i="44" s="1"/>
  <c r="H19" i="66"/>
  <c r="H20" i="66" s="1"/>
  <c r="H21" i="67"/>
  <c r="H22" i="62"/>
  <c r="H17" i="57"/>
  <c r="H17" i="72"/>
  <c r="H18" i="72" s="1"/>
  <c r="H50" i="77"/>
  <c r="H49" i="77"/>
  <c r="H52" i="77" s="1"/>
  <c r="H53" i="77" s="1"/>
  <c r="F60" i="76"/>
  <c r="H60" i="76" s="1"/>
  <c r="H61" i="76" s="1"/>
  <c r="H62" i="76" s="1"/>
  <c r="H56" i="76"/>
  <c r="H74" i="76"/>
  <c r="H73" i="76"/>
  <c r="H76" i="76" s="1"/>
  <c r="H77" i="76" s="1"/>
  <c r="H39" i="78"/>
  <c r="H38" i="78"/>
  <c r="H22" i="68"/>
  <c r="F23" i="73"/>
  <c r="H23" i="73" s="1"/>
  <c r="H18" i="73"/>
  <c r="H24" i="73"/>
  <c r="H25" i="73" s="1"/>
  <c r="H37" i="73"/>
  <c r="H36" i="73"/>
  <c r="H39" i="73" s="1"/>
  <c r="H40" i="73" s="1"/>
  <c r="H35" i="57"/>
  <c r="H34" i="57"/>
  <c r="H37" i="57" s="1"/>
  <c r="H38" i="57" s="1"/>
  <c r="H35" i="72"/>
  <c r="H34" i="72"/>
  <c r="H40" i="69"/>
  <c r="H39" i="69"/>
  <c r="H42" i="69" s="1"/>
  <c r="H43" i="69" s="1"/>
  <c r="H40" i="68"/>
  <c r="H39" i="68"/>
  <c r="H40" i="62"/>
  <c r="H39" i="62"/>
  <c r="H39" i="67"/>
  <c r="H37" i="66"/>
  <c r="H36" i="66"/>
  <c r="H39" i="66" s="1"/>
  <c r="H40" i="66" s="1"/>
  <c r="H20" i="56"/>
  <c r="F24" i="56"/>
  <c r="H24" i="56" s="1"/>
  <c r="H25" i="56" s="1"/>
  <c r="H26" i="56" s="1"/>
  <c r="H37" i="56"/>
  <c r="H36" i="56"/>
  <c r="F20" i="49"/>
  <c r="H20" i="49" s="1"/>
  <c r="H21" i="49" s="1"/>
  <c r="H22" i="49" s="1"/>
  <c r="H46" i="49" s="1"/>
  <c r="F20" i="79" s="1"/>
  <c r="E20" i="79" s="1"/>
  <c r="H19" i="71"/>
  <c r="F24" i="71"/>
  <c r="H24" i="71" s="1"/>
  <c r="H25" i="71"/>
  <c r="H26" i="71" s="1"/>
  <c r="H38" i="71"/>
  <c r="F23" i="44"/>
  <c r="H23" i="44" s="1"/>
  <c r="H24" i="44" s="1"/>
  <c r="H25" i="44" s="1"/>
  <c r="F20" i="74"/>
  <c r="H20" i="74" s="1"/>
  <c r="H21" i="74" s="1"/>
  <c r="H22" i="74" s="1"/>
  <c r="H46" i="74" s="1"/>
  <c r="F22" i="79" s="1"/>
  <c r="E22" i="79" s="1"/>
  <c r="H33" i="74"/>
  <c r="H32" i="74"/>
  <c r="H33" i="53"/>
  <c r="H32" i="53"/>
  <c r="H35" i="53" s="1"/>
  <c r="H36" i="53" s="1"/>
  <c r="H33" i="49"/>
  <c r="H37" i="52"/>
  <c r="H39" i="52" s="1"/>
  <c r="H41" i="52" s="1"/>
  <c r="H32" i="65"/>
  <c r="H31" i="65"/>
  <c r="H34" i="65" s="1"/>
  <c r="H35" i="65" s="1"/>
  <c r="H37" i="65" s="1"/>
  <c r="H17" i="48"/>
  <c r="H21" i="48"/>
  <c r="H23" i="48" s="1"/>
  <c r="H24" i="48" s="1"/>
  <c r="H36" i="48"/>
  <c r="H35" i="48"/>
  <c r="H38" i="48" s="1"/>
  <c r="H39" i="48" s="1"/>
  <c r="H33" i="64"/>
  <c r="H49" i="48" l="1"/>
  <c r="F16" i="79" s="1"/>
  <c r="E16" i="79" s="1"/>
  <c r="F22" i="72"/>
  <c r="H22" i="72" s="1"/>
  <c r="H23" i="72" s="1"/>
  <c r="H24" i="72" s="1"/>
  <c r="H48" i="72" s="1"/>
  <c r="F24" i="66"/>
  <c r="H24" i="66" s="1"/>
  <c r="H25" i="66" s="1"/>
  <c r="H26" i="66" s="1"/>
  <c r="H50" i="66" s="1"/>
  <c r="F27" i="79" s="1"/>
  <c r="E27" i="79" s="1"/>
  <c r="H23" i="52"/>
  <c r="H41" i="78"/>
  <c r="H42" i="78" s="1"/>
  <c r="H18" i="57"/>
  <c r="H23" i="69"/>
  <c r="H23" i="68"/>
  <c r="H23" i="62"/>
  <c r="H22" i="67"/>
  <c r="F20" i="53"/>
  <c r="H20" i="53" s="1"/>
  <c r="H21" i="53" s="1"/>
  <c r="H22" i="53" s="1"/>
  <c r="H38" i="53" s="1"/>
  <c r="H40" i="53" s="1"/>
  <c r="H41" i="53" s="1"/>
  <c r="H33" i="40"/>
  <c r="H37" i="40"/>
  <c r="H38" i="40" s="1"/>
  <c r="H39" i="40" s="1"/>
  <c r="F30" i="75"/>
  <c r="H30" i="75" s="1"/>
  <c r="H31" i="75" s="1"/>
  <c r="H32" i="75" s="1"/>
  <c r="H43" i="75"/>
  <c r="H37" i="72"/>
  <c r="H38" i="72" s="1"/>
  <c r="H35" i="44"/>
  <c r="H33" i="70"/>
  <c r="H36" i="70" s="1"/>
  <c r="H37" i="70" s="1"/>
  <c r="H39" i="70" s="1"/>
  <c r="H41" i="70" s="1"/>
  <c r="H42" i="70" s="1"/>
  <c r="H43" i="68"/>
  <c r="H41" i="67"/>
  <c r="H42" i="67" s="1"/>
  <c r="H39" i="56"/>
  <c r="H40" i="56" s="1"/>
  <c r="H38" i="44"/>
  <c r="H39" i="44" s="1"/>
  <c r="H41" i="44" s="1"/>
  <c r="H35" i="74"/>
  <c r="H36" i="74" s="1"/>
  <c r="H41" i="48"/>
  <c r="H43" i="48" s="1"/>
  <c r="H44" i="48" s="1"/>
  <c r="H40" i="52"/>
  <c r="H46" i="75"/>
  <c r="H47" i="75" s="1"/>
  <c r="F26" i="78"/>
  <c r="H26" i="78" s="1"/>
  <c r="H27" i="78" s="1"/>
  <c r="H28" i="78" s="1"/>
  <c r="H44" i="78" s="1"/>
  <c r="H32" i="77"/>
  <c r="H55" i="77" s="1"/>
  <c r="H42" i="62"/>
  <c r="H43" i="62" s="1"/>
  <c r="H35" i="49"/>
  <c r="H36" i="49" s="1"/>
  <c r="H38" i="49" s="1"/>
  <c r="H40" i="49" s="1"/>
  <c r="H41" i="49" s="1"/>
  <c r="H35" i="64"/>
  <c r="H36" i="64" s="1"/>
  <c r="H38" i="64" s="1"/>
  <c r="H40" i="64" s="1"/>
  <c r="H41" i="64" s="1"/>
  <c r="H79" i="76"/>
  <c r="H42" i="73"/>
  <c r="H40" i="72"/>
  <c r="H42" i="56"/>
  <c r="H43" i="71"/>
  <c r="H38" i="74"/>
  <c r="H28" i="52"/>
  <c r="H29" i="52" s="1"/>
  <c r="H46" i="52" s="1"/>
  <c r="H48" i="52" s="1"/>
  <c r="H49" i="52" s="1"/>
  <c r="H43" i="52"/>
  <c r="H44" i="52" s="1"/>
  <c r="H39" i="65"/>
  <c r="H40" i="65" s="1"/>
  <c r="E43" i="40"/>
  <c r="H43" i="40" s="1"/>
  <c r="H47" i="40" s="1"/>
  <c r="H49" i="40" s="1"/>
  <c r="H46" i="53" l="1"/>
  <c r="F21" i="79" s="1"/>
  <c r="E21" i="79" s="1"/>
  <c r="H42" i="66"/>
  <c r="H44" i="66" s="1"/>
  <c r="H45" i="66" s="1"/>
  <c r="H52" i="78"/>
  <c r="F34" i="79" s="1"/>
  <c r="E34" i="79" s="1"/>
  <c r="F22" i="57"/>
  <c r="H22" i="57" s="1"/>
  <c r="H23" i="57" s="1"/>
  <c r="H24" i="57" s="1"/>
  <c r="H40" i="57" s="1"/>
  <c r="H42" i="57" s="1"/>
  <c r="H43" i="57" s="1"/>
  <c r="F27" i="68"/>
  <c r="H27" i="68" s="1"/>
  <c r="H28" i="68" s="1"/>
  <c r="H29" i="68" s="1"/>
  <c r="H53" i="68" s="1"/>
  <c r="F30" i="79" s="1"/>
  <c r="E30" i="79" s="1"/>
  <c r="F27" i="62"/>
  <c r="H27" i="62" s="1"/>
  <c r="H28" i="62" s="1"/>
  <c r="H29" i="62" s="1"/>
  <c r="H53" i="62" s="1"/>
  <c r="F29" i="79" s="1"/>
  <c r="E29" i="79" s="1"/>
  <c r="F26" i="67"/>
  <c r="H26" i="67" s="1"/>
  <c r="H27" i="67" s="1"/>
  <c r="H28" i="67" s="1"/>
  <c r="H52" i="67" s="1"/>
  <c r="F28" i="79" s="1"/>
  <c r="E28" i="79" s="1"/>
  <c r="F27" i="69"/>
  <c r="H27" i="69" s="1"/>
  <c r="H28" i="69" s="1"/>
  <c r="H29" i="69" s="1"/>
  <c r="H53" i="69" s="1"/>
  <c r="F31" i="79" s="1"/>
  <c r="E31" i="79" s="1"/>
  <c r="H49" i="75"/>
  <c r="H47" i="68"/>
  <c r="H48" i="68" s="1"/>
  <c r="H57" i="77"/>
  <c r="H58" i="77" s="1"/>
  <c r="H81" i="76"/>
  <c r="H82" i="76" s="1"/>
  <c r="H51" i="75"/>
  <c r="H52" i="75" s="1"/>
  <c r="H46" i="78"/>
  <c r="H47" i="78" s="1"/>
  <c r="H44" i="73"/>
  <c r="H45" i="73" s="1"/>
  <c r="H42" i="72"/>
  <c r="H43" i="72" s="1"/>
  <c r="H44" i="56"/>
  <c r="H45" i="56" s="1"/>
  <c r="H45" i="71"/>
  <c r="H46" i="71" s="1"/>
  <c r="H43" i="44"/>
  <c r="H44" i="44" s="1"/>
  <c r="H40" i="74"/>
  <c r="H41" i="74" s="1"/>
  <c r="H42" i="53"/>
  <c r="H45" i="53" s="1"/>
  <c r="H42" i="49"/>
  <c r="H45" i="49" s="1"/>
  <c r="H43" i="70"/>
  <c r="H46" i="70" s="1"/>
  <c r="H51" i="40"/>
  <c r="H50" i="40"/>
  <c r="H41" i="65"/>
  <c r="H44" i="65" s="1"/>
  <c r="H45" i="48"/>
  <c r="H42" i="64"/>
  <c r="H45" i="64" s="1"/>
  <c r="H50" i="52"/>
  <c r="H48" i="57" l="1"/>
  <c r="F32" i="79" s="1"/>
  <c r="E32" i="79" s="1"/>
  <c r="H45" i="62"/>
  <c r="H47" i="62" s="1"/>
  <c r="H48" i="62" s="1"/>
  <c r="H49" i="62" s="1"/>
  <c r="H52" i="62" s="1"/>
  <c r="H45" i="69"/>
  <c r="H47" i="69" s="1"/>
  <c r="H48" i="69" s="1"/>
  <c r="H49" i="69" s="1"/>
  <c r="H52" i="69" s="1"/>
  <c r="H44" i="67"/>
  <c r="H46" i="67" s="1"/>
  <c r="H47" i="67" s="1"/>
  <c r="H48" i="67" s="1"/>
  <c r="H51" i="67" s="1"/>
  <c r="H53" i="40"/>
  <c r="H54" i="40" s="1"/>
  <c r="H48" i="48"/>
  <c r="H59" i="77"/>
  <c r="H62" i="77" s="1"/>
  <c r="H83" i="76"/>
  <c r="H86" i="76" s="1"/>
  <c r="H53" i="75"/>
  <c r="H56" i="75" s="1"/>
  <c r="H48" i="78"/>
  <c r="H51" i="78" s="1"/>
  <c r="H46" i="73"/>
  <c r="H49" i="73" s="1"/>
  <c r="H44" i="57"/>
  <c r="H47" i="57" s="1"/>
  <c r="H44" i="72"/>
  <c r="H47" i="72" s="1"/>
  <c r="H49" i="68"/>
  <c r="H52" i="68" s="1"/>
  <c r="H46" i="66"/>
  <c r="H49" i="66" s="1"/>
  <c r="H46" i="56"/>
  <c r="H47" i="71"/>
  <c r="H50" i="71" s="1"/>
  <c r="H45" i="44"/>
  <c r="H48" i="44" s="1"/>
  <c r="H42" i="74"/>
  <c r="H45" i="74" s="1"/>
  <c r="H56" i="40" l="1"/>
  <c r="H58" i="40" s="1"/>
  <c r="H59" i="40" s="1"/>
  <c r="H60" i="40" s="1"/>
  <c r="H63" i="40" s="1"/>
</calcChain>
</file>

<file path=xl/sharedStrings.xml><?xml version="1.0" encoding="utf-8"?>
<sst xmlns="http://schemas.openxmlformats.org/spreadsheetml/2006/main" count="2103" uniqueCount="330">
  <si>
    <t>Proyecto: Análisis de Costos Unitarios de la componente de electrificación y de energías renovables dentro de proyectos de riego</t>
  </si>
  <si>
    <r>
      <rPr>
        <b/>
        <sz val="8"/>
        <color theme="1"/>
        <rFont val="Arial"/>
        <family val="2"/>
      </rPr>
      <t>Version:</t>
    </r>
    <r>
      <rPr>
        <sz val="8"/>
        <color theme="1"/>
        <rFont val="Arial"/>
        <family val="2"/>
      </rPr>
      <t xml:space="preserve"> 1.0</t>
    </r>
  </si>
  <si>
    <t>SISTEMAS FOTOVOLTAICOS ON-GRID</t>
  </si>
  <si>
    <t>CLP/USD</t>
  </si>
  <si>
    <t>Valor U.F:</t>
  </si>
  <si>
    <t>Región</t>
  </si>
  <si>
    <t>Los Lagos</t>
  </si>
  <si>
    <t>F_s</t>
  </si>
  <si>
    <t>Descripción:</t>
  </si>
  <si>
    <t xml:space="preserve">Corresponde a las partidas con sus respectivos materiales, equipos y mano de obra necesarios para construir un proyecto fotovoltaico conectado a la red de una potencia de  hasta 300kVA. </t>
  </si>
  <si>
    <t>Descripción de partida</t>
  </si>
  <si>
    <t>Unidad</t>
  </si>
  <si>
    <t>P.U MIN (UF)</t>
  </si>
  <si>
    <t>P.U MAX (UF)</t>
  </si>
  <si>
    <t>SUMINISTRO E INSTALACIÓN DE PANELES FOTOVOLTAICOS SOBRE TECHO (Altura  &gt;  4m)</t>
  </si>
  <si>
    <t>METRO</t>
  </si>
  <si>
    <t>UNIDAD</t>
  </si>
  <si>
    <t>MEDICIÓN  TRIFÁSICA DIRECTA</t>
  </si>
  <si>
    <t>MEDICIÓN  TRIFÁSICA INDIRECTA</t>
  </si>
  <si>
    <t>MEDICIÓN  TRIFÁSICA SEMI-DIRECTA</t>
  </si>
  <si>
    <r>
      <rPr>
        <b/>
        <sz val="8"/>
        <color rgb="FF000000"/>
        <rFont val="Arial"/>
        <family val="2"/>
      </rPr>
      <t xml:space="preserve">Proyecto: </t>
    </r>
    <r>
      <rPr>
        <sz val="8"/>
        <color rgb="FF000000"/>
        <rFont val="Arial"/>
        <family val="2"/>
      </rPr>
      <t>Análisis de Costos Unitarios de la componente de Electrificación y de Energías Renovables dentro de Proyectos de Riego</t>
    </r>
  </si>
  <si>
    <t>ESTRUCTURA SOBRE TECHO</t>
  </si>
  <si>
    <t>Unidad:</t>
  </si>
  <si>
    <t>kWp</t>
  </si>
  <si>
    <t>Rendimiento: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</si>
  <si>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Suministro e Instalacion de Estructura para paneles FV sobre techo. Incluye replanteo de ejes estructurales. No incluye transporte.</t>
    </r>
  </si>
  <si>
    <t>MATERIALES</t>
  </si>
  <si>
    <t>Codigo</t>
  </si>
  <si>
    <t>Descripción</t>
  </si>
  <si>
    <t>Cantidad</t>
  </si>
  <si>
    <t>% Desperdicio</t>
  </si>
  <si>
    <t>P.U.</t>
  </si>
  <si>
    <t>Total</t>
  </si>
  <si>
    <t>Perfil Riel R2 4500mm</t>
  </si>
  <si>
    <t>Tira</t>
  </si>
  <si>
    <t>Unión Riel R2 UI</t>
  </si>
  <si>
    <t>Un</t>
  </si>
  <si>
    <t>Pieza L 84mm levantariel R2</t>
  </si>
  <si>
    <t>Grapa Inetermedia R2 35mm</t>
  </si>
  <si>
    <t>Grapa Extremo R2 35mm</t>
  </si>
  <si>
    <t>Conector Cable tierra a riel R2</t>
  </si>
  <si>
    <t>Pletina Dentada</t>
  </si>
  <si>
    <t>Total Materiales:</t>
  </si>
  <si>
    <t>Unitario Materiales:</t>
  </si>
  <si>
    <t>EQUIPOS</t>
  </si>
  <si>
    <t>Alq. Ó Dep.</t>
  </si>
  <si>
    <t>Valor unitario</t>
  </si>
  <si>
    <t>Herramientas menores</t>
  </si>
  <si>
    <t>S.G</t>
  </si>
  <si>
    <t>Total Equipos:</t>
  </si>
  <si>
    <t>Unitario Equipos:</t>
  </si>
  <si>
    <t>MANO DE OBRA</t>
  </si>
  <si>
    <t>Salario</t>
  </si>
  <si>
    <t>Maestro Electrico de 1A</t>
  </si>
  <si>
    <t>Día</t>
  </si>
  <si>
    <t>Maestro Electrico de 2A</t>
  </si>
  <si>
    <t>Electrico 1A</t>
  </si>
  <si>
    <t>Ayudante</t>
  </si>
  <si>
    <t>Total Mano de Obra:</t>
  </si>
  <si>
    <t>Mano de Obra directa:</t>
  </si>
  <si>
    <t>Leyes Sociales:</t>
  </si>
  <si>
    <t>Alimentación:</t>
  </si>
  <si>
    <t>Unitario Mano de Obra:</t>
  </si>
  <si>
    <t>Costo Directo por Unidad:</t>
  </si>
  <si>
    <t>Administracion y Gastos generales:</t>
  </si>
  <si>
    <t>Sub Total:</t>
  </si>
  <si>
    <t>Utilidad e imprevisto:</t>
  </si>
  <si>
    <t>PRECIO UNITARIO (CLP):</t>
  </si>
  <si>
    <t>PUC (CLP):</t>
  </si>
  <si>
    <t>ESTRUCTURA SOBRE SUELO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</si>
  <si>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Suministro e Instalacion de Estructura sobre suelo para panees FV. Incluye replanteo de ejes estructurales. No incluye transporte.</t>
    </r>
  </si>
  <si>
    <t>Pilar 200x50x15x3x2280mm</t>
  </si>
  <si>
    <t>Viga inclinada</t>
  </si>
  <si>
    <t>Brazo Rigizador 50x25x2x1260mm</t>
  </si>
  <si>
    <t>Costanera 80x40x15x2x5164mm</t>
  </si>
  <si>
    <t>Mordaza</t>
  </si>
  <si>
    <t>Mensula</t>
  </si>
  <si>
    <t>Pletina (Conectar Costaneras)</t>
  </si>
  <si>
    <t>Tensor Estructural</t>
  </si>
  <si>
    <t>Perno Hex. Estructura 3/8"x1"</t>
  </si>
  <si>
    <t>Tuerca Hex 3/8"</t>
  </si>
  <si>
    <t>Golilla Plana 3/8</t>
  </si>
  <si>
    <t xml:space="preserve">Fijación Central Mid Clamps </t>
  </si>
  <si>
    <t>Fijación Lateral End Clamps</t>
  </si>
  <si>
    <t>Perno Hexa inox 1/4x2 1/2"</t>
  </si>
  <si>
    <t>Tuerca Hexa inox 1/4"</t>
  </si>
  <si>
    <t>Golilla plana inox 1/4"</t>
  </si>
  <si>
    <t>Golilla presión Inox 1/4"</t>
  </si>
  <si>
    <t>Herramientas en general (Incluyen Llave de torque, Taquimetro y Nivel topografico)</t>
  </si>
  <si>
    <t>Supervisor</t>
  </si>
  <si>
    <t>Topografo</t>
  </si>
  <si>
    <t>Maestro 1</t>
  </si>
  <si>
    <t>FUNDACIÓN DE ESTRUCURAS CON HORMIGÓN</t>
  </si>
  <si>
    <t>m3</t>
  </si>
  <si>
    <t xml:space="preserve">Hormigon Premezclado G17 </t>
  </si>
  <si>
    <t>Vibrador 38mm con sonda 2.5m</t>
  </si>
  <si>
    <t>Maestro Albañil de 1a</t>
  </si>
  <si>
    <t>FUNDACIÓN DE ESTRUCTURAS CON TORNILLOS</t>
  </si>
  <si>
    <r>
      <rPr>
        <b/>
        <sz val="9"/>
        <color rgb="FF000000"/>
        <rFont val="Arial"/>
        <family val="2"/>
      </rPr>
      <t>Descripcion:</t>
    </r>
    <r>
      <rPr>
        <sz val="8"/>
        <color rgb="FF000000"/>
        <rFont val="Arial"/>
        <family val="2"/>
      </rPr>
      <t xml:space="preserve"> APU calculada para suministro e instalación de Ecopilotes Tipo XA. No incluye Transporte y Ensayos de extracción.</t>
    </r>
  </si>
  <si>
    <t>Suministro tornillo Ecopilote XA 87mm 1300/1600mm</t>
  </si>
  <si>
    <t>Servicio de instalación (Leyes sociales incluidas)</t>
  </si>
  <si>
    <t>SUMINISTRO E INSTALACIÓN DE PANELES FOTOVOLTAICOS SOBRE TECHO (Altura &lt;  4m)</t>
  </si>
  <si>
    <r>
      <rPr>
        <b/>
        <sz val="9"/>
        <color rgb="FF000000"/>
        <rFont val="Arial"/>
        <family val="2"/>
      </rPr>
      <t>Descripcion:</t>
    </r>
    <r>
      <rPr>
        <sz val="8"/>
        <color rgb="FF000000"/>
        <rFont val="Arial"/>
        <family val="2"/>
      </rPr>
      <t xml:space="preserve"> APU calculada para suministro e instalación de paneles FV. Considerando techo accesible y con pendiente de 30°</t>
    </r>
  </si>
  <si>
    <t>Complejidad:</t>
  </si>
  <si>
    <t>Inclinación</t>
  </si>
  <si>
    <t>kg/kWp</t>
  </si>
  <si>
    <t xml:space="preserve">Panel Fotovoltaico 455Wp </t>
  </si>
  <si>
    <t>un</t>
  </si>
  <si>
    <t>* Rendimiento disminuye con mayor inclinación</t>
  </si>
  <si>
    <t>Caso estudio : 6 paneles, techo 30°</t>
  </si>
  <si>
    <t>Herramientas para montaje de paneles</t>
  </si>
  <si>
    <t>HH: 4</t>
  </si>
  <si>
    <t xml:space="preserve">Andamio </t>
  </si>
  <si>
    <t>día</t>
  </si>
  <si>
    <t>6 paneles, techo &gt;30°</t>
  </si>
  <si>
    <t>FC:</t>
  </si>
  <si>
    <t>HH: 8</t>
  </si>
  <si>
    <t>Supervisor Electrico</t>
  </si>
  <si>
    <t>Dia</t>
  </si>
  <si>
    <t>Si m&lt;30° FC=1</t>
  </si>
  <si>
    <t>Si m&gt;30° FC=2</t>
  </si>
  <si>
    <t>total 1</t>
  </si>
  <si>
    <t>total 2</t>
  </si>
  <si>
    <t>FC total</t>
  </si>
  <si>
    <t>Si m&gt;30° FC=1,014</t>
  </si>
  <si>
    <t>Alzahombre</t>
  </si>
  <si>
    <t>SUMINISTRO E INSTALACIÓN DE PANELES FOTOVOLTAICOS SOBRE SUELO</t>
  </si>
  <si>
    <t>Herramientas Menores</t>
  </si>
  <si>
    <t>S.G.</t>
  </si>
  <si>
    <t>Maestro 2</t>
  </si>
  <si>
    <t>SUMINISTRO E INSTALACIÓN DE INVERSOR ON-GRID TRIFÁSICO (10-50KVA)</t>
  </si>
  <si>
    <t>kVA</t>
  </si>
  <si>
    <t>Inversor trifásico (Fronius 50kVA)</t>
  </si>
  <si>
    <t>SUMINISTRO E INSTALACIÓN DE INVERSOR ON-GRID TRIFÁSICO (50-100kVA)</t>
  </si>
  <si>
    <t>Inversor trifásico (Fronius Tauro Eco 100kVA)</t>
  </si>
  <si>
    <t>SUMINISTRO E INSTALACIÓN DE INVERSOR ON-GRID MONOFÁSICO</t>
  </si>
  <si>
    <t>kW</t>
  </si>
  <si>
    <t>Inversor Fonius Prino 5.0</t>
  </si>
  <si>
    <t>SUMINISTRO E INSTALACIÓN DE MICRO INVERSORES</t>
  </si>
  <si>
    <t>Micro Inversor On Grid 600W. Permite instalar hasta 2 paneles de 330Wp</t>
  </si>
  <si>
    <t xml:space="preserve">PASILLO TÉCNICO </t>
  </si>
  <si>
    <t>Pasillo Técnico Galvanizado 480X3000mm</t>
  </si>
  <si>
    <t xml:space="preserve">Cable De Acero Galvanizado 3/8" </t>
  </si>
  <si>
    <t>metro</t>
  </si>
  <si>
    <t>CANALIZACIÓN Y CABLEADO DC EN PARED</t>
  </si>
  <si>
    <t>Cond. H2Z2Z2-K 4mm2  Rojo</t>
  </si>
  <si>
    <t>Cond. H2Z2Z2-K 4mm2  Negro</t>
  </si>
  <si>
    <t>Abrazaderas Caddy 32mm</t>
  </si>
  <si>
    <t>Tubería Acero Galvanizado 32mm 3M</t>
  </si>
  <si>
    <t>tira</t>
  </si>
  <si>
    <t>CANALIZACIÓN y CABLEADO DC SOTERRADO</t>
  </si>
  <si>
    <t>PVC 32 mm 6 metros</t>
  </si>
  <si>
    <t>Cámara plástica 40x40</t>
  </si>
  <si>
    <t xml:space="preserve">Zanjadora </t>
  </si>
  <si>
    <t>TABLERO AC 1F 1-10kW</t>
  </si>
  <si>
    <t>Descripción: Se considera hasta 10kW</t>
  </si>
  <si>
    <t>Interruptor diferencial Tipo A 2x40A</t>
  </si>
  <si>
    <t>Interruptor termomagnético 2x40A</t>
  </si>
  <si>
    <t>Barra Repartidora Bipolar 125A</t>
  </si>
  <si>
    <t>Tablero plástico IP65 18 puestos</t>
  </si>
  <si>
    <t>TABLERO AC 8-50kVA</t>
  </si>
  <si>
    <t>Descripción: Se considera hasta 50kVA con un inversor de 50kVA</t>
  </si>
  <si>
    <t>Interruptor Diferencial 4x80 Tipo A</t>
  </si>
  <si>
    <t>Interruptor termomagnético 4x80A</t>
  </si>
  <si>
    <t>Gabinete 600x400 Ip65 c/contratapa</t>
  </si>
  <si>
    <t xml:space="preserve">Repartidor Tetrapolar 125A </t>
  </si>
  <si>
    <t>TABLERO AC 3F 50-100kVA</t>
  </si>
  <si>
    <t>Descripción: Se considera hasta 100kVA</t>
  </si>
  <si>
    <t>Relé Diferencial Fanox ELCR</t>
  </si>
  <si>
    <t>Transformador corriente para relé</t>
  </si>
  <si>
    <t>Interruptor termomagnético 4x150A</t>
  </si>
  <si>
    <t>Gabinete 1800x600 Ip65 c/contratapa</t>
  </si>
  <si>
    <t>Contactor 4x250A</t>
  </si>
  <si>
    <t xml:space="preserve">Repartidor Tetrapolar 200A </t>
  </si>
  <si>
    <t>TABLERO AC 3F 100-150 kVA</t>
  </si>
  <si>
    <t>Descripción: Se considera hasta 150kVA</t>
  </si>
  <si>
    <t>Interruptor termomagnético 4x250A</t>
  </si>
  <si>
    <t xml:space="preserve">Repartidor Tetrapolar 400A </t>
  </si>
  <si>
    <t>Contactor 4x250A AC1</t>
  </si>
  <si>
    <t>Contactor 3x250A AC1</t>
  </si>
  <si>
    <t>TABLERO AC 3F 150-200 kVA</t>
  </si>
  <si>
    <t>Descripción: Se considera hasta 200kVA con 4 inversores de 50kVA</t>
  </si>
  <si>
    <t>Interruptor termomagnético 4x300A</t>
  </si>
  <si>
    <t>Gabinete 2000x800 Ip65 c/contratapa</t>
  </si>
  <si>
    <t>Contactor 4x300A</t>
  </si>
  <si>
    <t>Contactor 3x300A</t>
  </si>
  <si>
    <t>TABLERO AC 3F 200-300 kVA</t>
  </si>
  <si>
    <t>Descripción: Se considera hasta 300kVA</t>
  </si>
  <si>
    <t>Interruptor termomagnético 4x450A</t>
  </si>
  <si>
    <t>Gabinete 2000x1200 Ip65 c/contratapa</t>
  </si>
  <si>
    <t xml:space="preserve">Repartidor Tetrapolar 500A </t>
  </si>
  <si>
    <t>Contactor 3x450A</t>
  </si>
  <si>
    <t>Contactor 4x450A</t>
  </si>
  <si>
    <t>PROTECCIÓN RI</t>
  </si>
  <si>
    <t>Maule</t>
  </si>
  <si>
    <t>Protección RI Bender</t>
  </si>
  <si>
    <t>UN</t>
  </si>
  <si>
    <t>Tablero IP65 500x400x250mm Ip65</t>
  </si>
  <si>
    <t>Interruptor termomágnetico 1x2A</t>
  </si>
  <si>
    <t>CANALIZACIÓN PARA PROTECCIÓN RI</t>
  </si>
  <si>
    <t>Descripción: Se considera 2 postes existentes</t>
  </si>
  <si>
    <t xml:space="preserve">Grampa retención </t>
  </si>
  <si>
    <t>Cordón RV-k 7x14 AWG o Coviflex RV-K</t>
  </si>
  <si>
    <t>M</t>
  </si>
  <si>
    <t>CANALIZACIÓN SOTERRADA PARA PROTECCIÓN RI</t>
  </si>
  <si>
    <t>METROS</t>
  </si>
  <si>
    <t xml:space="preserve"> PVC 32 mm 6 metros </t>
  </si>
  <si>
    <t xml:space="preserve"> Camara plástica 40x40mm </t>
  </si>
  <si>
    <t xml:space="preserve"> Cordón RV-k 7x14 AWG o Coviflex RV-K </t>
  </si>
  <si>
    <t>MEDICIÓN BIDIRECCIONAL  MONOFÁSICA EN POSTE</t>
  </si>
  <si>
    <t>Medidor Monofásico</t>
  </si>
  <si>
    <t>Poste Metálico 75x75MMx6M</t>
  </si>
  <si>
    <t>Camarilla registro PVC 110mm</t>
  </si>
  <si>
    <t>FC : Utilización de poste metálico</t>
  </si>
  <si>
    <t>Conductor THHN Verde 8AWG</t>
  </si>
  <si>
    <t>m</t>
  </si>
  <si>
    <t>Conductor THHN Blanco 8AWG</t>
  </si>
  <si>
    <t>Si se instalará medidor en Fachada, no se necesita instalar poste metálico</t>
  </si>
  <si>
    <t>Hormigón preparado 25 kg</t>
  </si>
  <si>
    <t>saco</t>
  </si>
  <si>
    <t>Int. Termomagnetico Curva B 40A</t>
  </si>
  <si>
    <t xml:space="preserve">Barra copperweld 5/8 1.5 m </t>
  </si>
  <si>
    <t>Total con Poste</t>
  </si>
  <si>
    <t>Total Sin Poste</t>
  </si>
  <si>
    <t>MEDIDOR BIDIRECCIONAL TRIFÁSICO</t>
  </si>
  <si>
    <t>Medidor Trifásico Electronico</t>
  </si>
  <si>
    <t>MEDIDOR BIDIRECCIONAL MONOFÁSICO</t>
  </si>
  <si>
    <t>MEDICIÓN  BIDIRECCIONAL TRIFÁSICA DIRECTA EN POSTE</t>
  </si>
  <si>
    <t>Tablero para empalme (Caja/m.EPM 55x50x27cm Dfo c/cop.1 BSP)</t>
  </si>
  <si>
    <t>Medidor 3F directo</t>
  </si>
  <si>
    <t>Poste metálico 8mt 100x100</t>
  </si>
  <si>
    <t>Riel unistrut 42x42</t>
  </si>
  <si>
    <t>Riel Din zincado</t>
  </si>
  <si>
    <t>Bornes conexión</t>
  </si>
  <si>
    <t>Interruptor Termomagnético 4P 100A</t>
  </si>
  <si>
    <t>Perno Tca Hex 1/2"x10"x6"</t>
  </si>
  <si>
    <t>Golilla 40x40x5 mm</t>
  </si>
  <si>
    <t>Golilla Presion 22x4mm 1/2</t>
  </si>
  <si>
    <t>Tornillo Aut. Perf. Framer</t>
  </si>
  <si>
    <t>MEDICIÓN  BIDIRECCIONAL TRIFÁSICA INDIRECTA</t>
  </si>
  <si>
    <t>Descripción: Incluye Equipo compacto de Medida (ECM)</t>
  </si>
  <si>
    <t>Poste Hormigón armado 10m</t>
  </si>
  <si>
    <t>Aislador faldillas de goma siliconada para suspension 25 Kv.</t>
  </si>
  <si>
    <t>Cruceta L 65 x 65 x 6 x 2.400 m/m.,  Tm-G120-1</t>
  </si>
  <si>
    <t>Diagonal 5 x 32 x 900 m/m., Tm-G121-1</t>
  </si>
  <si>
    <t>Cable Cu duro Des 2AWG</t>
  </si>
  <si>
    <t>mt</t>
  </si>
  <si>
    <t>ECM 3 elementos</t>
  </si>
  <si>
    <t>Cable Cu Rvk 7x14AWG</t>
  </si>
  <si>
    <t>Cañería Fe Galv Diam 1" 6m</t>
  </si>
  <si>
    <t>Perno Tca Hex 5/8x9"x6"</t>
  </si>
  <si>
    <t>Golilla Pres 27x4,5 5/8</t>
  </si>
  <si>
    <t>Fijación Taco Mad 1/2x12" cañ 1"</t>
  </si>
  <si>
    <t>Perno Tca Hex 1/2"x12"x7"</t>
  </si>
  <si>
    <t>Golilla Pres 22x4" 1/2</t>
  </si>
  <si>
    <t>Golilla Red Pl 28,5x2,5mm Pno 1/2"</t>
  </si>
  <si>
    <t>Caja EPM 55x50x27 c/cop 1"</t>
  </si>
  <si>
    <t>Medidor 3F indirecto 2,5(20)A 50Hz</t>
  </si>
  <si>
    <t>Fijación 1/2"x5 1/2" Cañ 1/2"</t>
  </si>
  <si>
    <t>Pletina Fij Toma-tierra 150x50x8</t>
  </si>
  <si>
    <t>Cañería Fe Galv Diam 1/2" 6mt</t>
  </si>
  <si>
    <t>Candado Tubo Diam Unica</t>
  </si>
  <si>
    <t>Placa conexión 3P 250V</t>
  </si>
  <si>
    <t>Conduit Flex Met PVC 1"</t>
  </si>
  <si>
    <t>Conector Recto 1"</t>
  </si>
  <si>
    <t>Perno Tca Hex 1/2x1 1/2x1/2"</t>
  </si>
  <si>
    <t>Espiga Cruc Met 3/4x200</t>
  </si>
  <si>
    <t xml:space="preserve">Aislador Polim Espiga </t>
  </si>
  <si>
    <t>Alambre Cu Bl Des 10AWG</t>
  </si>
  <si>
    <t>kg</t>
  </si>
  <si>
    <t>Cobertor para MT clase 25 kV</t>
  </si>
  <si>
    <t>Amarra plas uv 7,6x360mm</t>
  </si>
  <si>
    <t>Cable cu duro Des 3AWG</t>
  </si>
  <si>
    <t>Terminal Cu Paleta 2AWG</t>
  </si>
  <si>
    <t>Terminal ojo 14-16AWG</t>
  </si>
  <si>
    <t>Cable CU THHN 14 AWG Bc</t>
  </si>
  <si>
    <t>Cable CU THHN 14 AWG Ve</t>
  </si>
  <si>
    <t>Cable CU THHN 14 AWG Az</t>
  </si>
  <si>
    <t>Cable CU THHN 14 AWG Rj</t>
  </si>
  <si>
    <t>Cable CU THHN 14 AWG Ne</t>
  </si>
  <si>
    <t xml:space="preserve">Conector Vise al 4,1-10,6 Derivación Al o Cu </t>
  </si>
  <si>
    <t>Manta aislante Pad 2230;25kV 0,2x3M</t>
  </si>
  <si>
    <t>Kit conector estribo N°2AWG</t>
  </si>
  <si>
    <t>MEDICIÓN  BIDIRECCIONAL TRIFÁSICA SEMI-DIRECTA</t>
  </si>
  <si>
    <t>Amarra Plástica 7,6x360mm</t>
  </si>
  <si>
    <t>Tornillo Autoperforante Framer</t>
  </si>
  <si>
    <t>Perno Tca Hex. 1/2"x10"x6"</t>
  </si>
  <si>
    <t>Golilla 40x40x5</t>
  </si>
  <si>
    <t>Golilla Pres 22x4mm x 1/2</t>
  </si>
  <si>
    <t xml:space="preserve">Transformadores de corriente 200/5 con Certificado </t>
  </si>
  <si>
    <t xml:space="preserve">Interruptor Termomagnético 4x160A </t>
  </si>
  <si>
    <t>Placa conexión y accesorios 3P 250V</t>
  </si>
  <si>
    <t>Cable Cu BL Ais THHN 12AWG AZ</t>
  </si>
  <si>
    <t>Cable Cu BL Ais THHN 12AWG Ne</t>
  </si>
  <si>
    <t>Cable Cu BL Ais THHN 12AWG Roj</t>
  </si>
  <si>
    <t>Conector tipo Argolla 12AWG</t>
  </si>
  <si>
    <t>Cable Cu BL Ais THHN 12AWG Blan</t>
  </si>
  <si>
    <t>#</t>
  </si>
  <si>
    <t>Índice</t>
  </si>
  <si>
    <t>Resultados Encuesta Suplementaria de Ingresos (ESI) 2021 - Instituto Nacional de Estadísticas (INE)</t>
  </si>
  <si>
    <t>XV</t>
  </si>
  <si>
    <t>Arica y Parinacota</t>
  </si>
  <si>
    <t>I</t>
  </si>
  <si>
    <t>Tarapacá</t>
  </si>
  <si>
    <t>II</t>
  </si>
  <si>
    <t>Antofagasta</t>
  </si>
  <si>
    <t>III</t>
  </si>
  <si>
    <t>Atacama</t>
  </si>
  <si>
    <t>IV</t>
  </si>
  <si>
    <t>Coquimbo</t>
  </si>
  <si>
    <t>V</t>
  </si>
  <si>
    <t>Valparaíso</t>
  </si>
  <si>
    <t>RM</t>
  </si>
  <si>
    <t>Metropolitana</t>
  </si>
  <si>
    <t>VI</t>
  </si>
  <si>
    <t>O'Higgins</t>
  </si>
  <si>
    <t>VII</t>
  </si>
  <si>
    <t>XVI</t>
  </si>
  <si>
    <t>Ñuble</t>
  </si>
  <si>
    <t>VIII</t>
  </si>
  <si>
    <t>Biobío</t>
  </si>
  <si>
    <t>IX</t>
  </si>
  <si>
    <t>La Araucanía</t>
  </si>
  <si>
    <t>XIV</t>
  </si>
  <si>
    <t>Los Ríos</t>
  </si>
  <si>
    <t>X</t>
  </si>
  <si>
    <t>XI</t>
  </si>
  <si>
    <t>Aysén</t>
  </si>
  <si>
    <t>XII</t>
  </si>
  <si>
    <t>Magallanes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</si>
</sst>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&quot;$&quot;#,##0;[Red]&quot;$&quot;\-#,##0"/>
    <numFmt numFmtId="165" formatCode="&quot;$&quot;#,##0.00;[Red]&quot;$&quot;\-#,##0.00"/>
    <numFmt numFmtId="166" formatCode="_ &quot;$&quot;* #,##0_ ;_ &quot;$&quot;* \-#,##0_ ;_ &quot;$&quot;* &quot;-&quot;_ ;_ @_ "/>
    <numFmt numFmtId="167" formatCode="_ * #,##0_ ;_ * \-#,##0_ ;_ * &quot;-&quot;_ ;_ @_ "/>
    <numFmt numFmtId="168" formatCode="_ &quot;$&quot;* #,##0.00_ ;_ &quot;$&quot;* \-#,##0.00_ ;_ &quot;$&quot;* &quot;-&quot;??_ ;_ @_ "/>
    <numFmt numFmtId="169" formatCode="_-&quot;$&quot;\ * #,##0_-;\-&quot;$&quot;\ * #,##0_-;_-&quot;$&quot;\ * &quot;-&quot;_-;_-@_-"/>
    <numFmt numFmtId="170" formatCode="_-&quot;$&quot;\ * #,##0.00_-;\-&quot;$&quot;\ * #,##0.00_-;_-&quot;$&quot;\ * &quot;-&quot;??_-;_-@_-"/>
    <numFmt numFmtId="171" formatCode="_-* #,##0.00\ _€_-;\-* #,##0.00\ _€_-;_-* &quot;-&quot;??\ _€_-;_-@_-"/>
    <numFmt numFmtId="172" formatCode="_-* #,##0\ _€_-;\-* #,##0\ _€_-;_-* &quot;-&quot;??\ _€_-;_-@_-"/>
    <numFmt numFmtId="173" formatCode="_-[$$-340A]\ * #,##0_-;\-[$$-340A]\ * #,##0_-;_-[$$-340A]\ * &quot;-&quot;??_-;_-@_-"/>
    <numFmt numFmtId="174" formatCode="_ &quot;$&quot;* #,##0_ ;_ &quot;$&quot;* \-#,##0_ ;_ &quot;$&quot;* &quot;-&quot;??_ ;_ @_ "/>
    <numFmt numFmtId="175" formatCode="#,##0.0"/>
    <numFmt numFmtId="176" formatCode="0.000"/>
    <numFmt numFmtId="177" formatCode="#,##0.000"/>
    <numFmt numFmtId="178" formatCode="0.0"/>
    <numFmt numFmtId="179" formatCode="[$$-340A]#,##0"/>
    <numFmt numFmtId="180" formatCode="_-[$$-409]* #,##0_ ;_-[$$-409]* \-#,##0\ ;_-[$$-409]* &quot;-&quot;??_ ;_-@_ "/>
    <numFmt numFmtId="181" formatCode="_ [$$-340A]* #,##0_ ;_ [$$-340A]* \-#,##0_ ;_ [$$-340A]* &quot;-&quot;??_ ;_ @_ "/>
    <numFmt numFmtId="182" formatCode="&quot;$&quot;#,##0"/>
    <numFmt numFmtId="183" formatCode="&quot;$&quot;#,##0.00"/>
    <numFmt numFmtId="184" formatCode="0.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4472C4"/>
      <name val="Arial"/>
      <family val="2"/>
    </font>
    <font>
      <b/>
      <sz val="9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167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 applyAlignment="1">
      <alignment horizontal="center"/>
    </xf>
    <xf numFmtId="174" fontId="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 applyAlignment="1">
      <alignment horizontal="right"/>
    </xf>
    <xf numFmtId="172" fontId="4" fillId="2" borderId="0" xfId="1" applyNumberFormat="1" applyFont="1" applyFill="1" applyBorder="1"/>
    <xf numFmtId="172" fontId="4" fillId="2" borderId="0" xfId="1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/>
    </xf>
    <xf numFmtId="173" fontId="4" fillId="2" borderId="0" xfId="1" applyNumberFormat="1" applyFont="1" applyFill="1" applyBorder="1" applyAlignment="1"/>
    <xf numFmtId="172" fontId="4" fillId="2" borderId="1" xfId="1" applyNumberFormat="1" applyFont="1" applyFill="1" applyBorder="1"/>
    <xf numFmtId="173" fontId="4" fillId="2" borderId="1" xfId="1" applyNumberFormat="1" applyFont="1" applyFill="1" applyBorder="1" applyAlignment="1"/>
    <xf numFmtId="172" fontId="4" fillId="2" borderId="1" xfId="1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73" fontId="4" fillId="2" borderId="1" xfId="1" applyNumberFormat="1" applyFont="1" applyFill="1" applyBorder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173" fontId="4" fillId="2" borderId="0" xfId="1" applyNumberFormat="1" applyFont="1" applyFill="1" applyBorder="1"/>
    <xf numFmtId="3" fontId="3" fillId="2" borderId="0" xfId="0" applyNumberFormat="1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0" fontId="3" fillId="2" borderId="2" xfId="0" applyFont="1" applyFill="1" applyBorder="1"/>
    <xf numFmtId="0" fontId="4" fillId="2" borderId="3" xfId="0" applyFont="1" applyFill="1" applyBorder="1"/>
    <xf numFmtId="0" fontId="4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3" fontId="3" fillId="3" borderId="0" xfId="0" applyNumberFormat="1" applyFont="1" applyFill="1"/>
    <xf numFmtId="3" fontId="3" fillId="3" borderId="0" xfId="0" applyNumberFormat="1" applyFont="1" applyFill="1" applyAlignment="1">
      <alignment horizontal="right"/>
    </xf>
    <xf numFmtId="175" fontId="4" fillId="2" borderId="1" xfId="0" applyNumberFormat="1" applyFont="1" applyFill="1" applyBorder="1" applyAlignment="1">
      <alignment horizontal="center"/>
    </xf>
    <xf numFmtId="0" fontId="3" fillId="4" borderId="9" xfId="0" applyFont="1" applyFill="1" applyBorder="1"/>
    <xf numFmtId="0" fontId="4" fillId="4" borderId="10" xfId="0" applyFont="1" applyFill="1" applyBorder="1"/>
    <xf numFmtId="0" fontId="4" fillId="4" borderId="11" xfId="0" applyFont="1" applyFill="1" applyBorder="1"/>
    <xf numFmtId="0" fontId="3" fillId="4" borderId="12" xfId="0" applyFont="1" applyFill="1" applyBorder="1"/>
    <xf numFmtId="0" fontId="4" fillId="4" borderId="0" xfId="0" applyFont="1" applyFill="1"/>
    <xf numFmtId="0" fontId="4" fillId="4" borderId="13" xfId="0" applyFont="1" applyFill="1" applyBorder="1"/>
    <xf numFmtId="0" fontId="4" fillId="4" borderId="12" xfId="0" applyFont="1" applyFill="1" applyBorder="1"/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172" fontId="4" fillId="2" borderId="1" xfId="1" applyNumberFormat="1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horizontal="center"/>
    </xf>
    <xf numFmtId="177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166" fontId="4" fillId="2" borderId="1" xfId="5" applyFont="1" applyFill="1" applyBorder="1" applyAlignment="1">
      <alignment horizontal="center"/>
    </xf>
    <xf numFmtId="0" fontId="6" fillId="4" borderId="12" xfId="0" applyFont="1" applyFill="1" applyBorder="1"/>
    <xf numFmtId="166" fontId="4" fillId="2" borderId="1" xfId="0" applyNumberFormat="1" applyFont="1" applyFill="1" applyBorder="1" applyAlignment="1">
      <alignment horizontal="center"/>
    </xf>
    <xf numFmtId="178" fontId="4" fillId="2" borderId="1" xfId="0" applyNumberFormat="1" applyFont="1" applyFill="1" applyBorder="1" applyAlignment="1">
      <alignment horizontal="center"/>
    </xf>
    <xf numFmtId="179" fontId="4" fillId="2" borderId="1" xfId="0" applyNumberFormat="1" applyFont="1" applyFill="1" applyBorder="1" applyAlignment="1">
      <alignment horizontal="center"/>
    </xf>
    <xf numFmtId="173" fontId="4" fillId="2" borderId="0" xfId="0" applyNumberFormat="1" applyFont="1" applyFill="1" applyAlignment="1">
      <alignment horizontal="right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9" fontId="8" fillId="2" borderId="0" xfId="0" applyNumberFormat="1" applyFont="1" applyFill="1"/>
    <xf numFmtId="180" fontId="4" fillId="2" borderId="0" xfId="0" applyNumberFormat="1" applyFont="1" applyFill="1" applyAlignment="1">
      <alignment horizontal="right"/>
    </xf>
    <xf numFmtId="181" fontId="4" fillId="2" borderId="0" xfId="0" applyNumberFormat="1" applyFont="1" applyFill="1" applyAlignment="1">
      <alignment horizontal="right"/>
    </xf>
    <xf numFmtId="173" fontId="3" fillId="3" borderId="0" xfId="0" applyNumberFormat="1" applyFont="1" applyFill="1" applyAlignment="1">
      <alignment horizontal="right"/>
    </xf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9" xfId="0" applyFont="1" applyFill="1" applyBorder="1"/>
    <xf numFmtId="174" fontId="4" fillId="2" borderId="20" xfId="0" applyNumberFormat="1" applyFont="1" applyFill="1" applyBorder="1"/>
    <xf numFmtId="3" fontId="4" fillId="2" borderId="20" xfId="0" applyNumberFormat="1" applyFont="1" applyFill="1" applyBorder="1"/>
    <xf numFmtId="0" fontId="4" fillId="2" borderId="20" xfId="0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73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/>
    </xf>
    <xf numFmtId="0" fontId="7" fillId="2" borderId="0" xfId="0" applyFont="1" applyFill="1"/>
    <xf numFmtId="1" fontId="5" fillId="2" borderId="0" xfId="0" applyNumberFormat="1" applyFont="1" applyFill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74" fontId="4" fillId="2" borderId="1" xfId="0" applyNumberFormat="1" applyFont="1" applyFill="1" applyBorder="1" applyAlignment="1">
      <alignment horizontal="center"/>
    </xf>
    <xf numFmtId="174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166" fontId="4" fillId="0" borderId="0" xfId="0" applyNumberFormat="1" applyFont="1"/>
    <xf numFmtId="173" fontId="4" fillId="0" borderId="0" xfId="0" applyNumberFormat="1" applyFont="1"/>
    <xf numFmtId="0" fontId="4" fillId="2" borderId="0" xfId="0" applyFont="1" applyFill="1" applyAlignment="1">
      <alignment horizontal="left" wrapText="1"/>
    </xf>
    <xf numFmtId="176" fontId="4" fillId="0" borderId="0" xfId="0" applyNumberFormat="1" applyFont="1"/>
    <xf numFmtId="182" fontId="4" fillId="2" borderId="1" xfId="0" applyNumberFormat="1" applyFont="1" applyFill="1" applyBorder="1" applyAlignment="1">
      <alignment horizontal="center"/>
    </xf>
    <xf numFmtId="0" fontId="3" fillId="5" borderId="0" xfId="0" applyFont="1" applyFill="1"/>
    <xf numFmtId="0" fontId="4" fillId="0" borderId="25" xfId="0" applyFont="1" applyBorder="1"/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176" fontId="4" fillId="0" borderId="26" xfId="0" applyNumberFormat="1" applyFont="1" applyBorder="1"/>
    <xf numFmtId="0" fontId="4" fillId="6" borderId="12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 vertical="center"/>
    </xf>
    <xf numFmtId="178" fontId="4" fillId="6" borderId="1" xfId="0" applyNumberFormat="1" applyFont="1" applyFill="1" applyBorder="1" applyAlignment="1">
      <alignment horizontal="center"/>
    </xf>
    <xf numFmtId="166" fontId="4" fillId="6" borderId="1" xfId="0" applyNumberFormat="1" applyFont="1" applyFill="1" applyBorder="1" applyAlignment="1">
      <alignment horizontal="center"/>
    </xf>
    <xf numFmtId="166" fontId="4" fillId="6" borderId="1" xfId="5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4" fillId="6" borderId="0" xfId="0" applyFont="1" applyFill="1"/>
    <xf numFmtId="0" fontId="3" fillId="6" borderId="1" xfId="0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 wrapText="1"/>
    </xf>
    <xf numFmtId="172" fontId="4" fillId="6" borderId="1" xfId="1" applyNumberFormat="1" applyFont="1" applyFill="1" applyBorder="1" applyAlignment="1">
      <alignment horizontal="left"/>
    </xf>
    <xf numFmtId="3" fontId="4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177" fontId="4" fillId="6" borderId="1" xfId="0" applyNumberFormat="1" applyFont="1" applyFill="1" applyBorder="1" applyAlignment="1">
      <alignment horizontal="center"/>
    </xf>
    <xf numFmtId="172" fontId="4" fillId="6" borderId="1" xfId="1" applyNumberFormat="1" applyFont="1" applyFill="1" applyBorder="1"/>
    <xf numFmtId="182" fontId="4" fillId="6" borderId="1" xfId="0" applyNumberFormat="1" applyFont="1" applyFill="1" applyBorder="1" applyAlignment="1">
      <alignment horizontal="center"/>
    </xf>
    <xf numFmtId="2" fontId="4" fillId="2" borderId="0" xfId="0" applyNumberFormat="1" applyFont="1" applyFill="1"/>
    <xf numFmtId="0" fontId="4" fillId="6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8" fontId="4" fillId="0" borderId="0" xfId="0" applyNumberFormat="1" applyFont="1"/>
    <xf numFmtId="0" fontId="7" fillId="7" borderId="1" xfId="0" applyFont="1" applyFill="1" applyBorder="1"/>
    <xf numFmtId="0" fontId="7" fillId="7" borderId="27" xfId="0" applyFont="1" applyFill="1" applyBorder="1"/>
    <xf numFmtId="164" fontId="7" fillId="7" borderId="27" xfId="0" applyNumberFormat="1" applyFont="1" applyFill="1" applyBorder="1"/>
    <xf numFmtId="0" fontId="7" fillId="0" borderId="28" xfId="0" applyFont="1" applyBorder="1"/>
    <xf numFmtId="0" fontId="7" fillId="0" borderId="29" xfId="0" applyFont="1" applyBorder="1"/>
    <xf numFmtId="0" fontId="7" fillId="7" borderId="29" xfId="0" applyFont="1" applyFill="1" applyBorder="1"/>
    <xf numFmtId="164" fontId="7" fillId="7" borderId="29" xfId="0" applyNumberFormat="1" applyFont="1" applyFill="1" applyBorder="1"/>
    <xf numFmtId="0" fontId="7" fillId="7" borderId="28" xfId="0" applyFont="1" applyFill="1" applyBorder="1"/>
    <xf numFmtId="0" fontId="7" fillId="8" borderId="28" xfId="0" applyFont="1" applyFill="1" applyBorder="1"/>
    <xf numFmtId="0" fontId="7" fillId="8" borderId="29" xfId="0" applyFont="1" applyFill="1" applyBorder="1"/>
    <xf numFmtId="164" fontId="7" fillId="8" borderId="29" xfId="0" applyNumberFormat="1" applyFont="1" applyFill="1" applyBorder="1"/>
    <xf numFmtId="0" fontId="7" fillId="0" borderId="1" xfId="0" applyFont="1" applyBorder="1"/>
    <xf numFmtId="165" fontId="7" fillId="7" borderId="29" xfId="0" applyNumberFormat="1" applyFont="1" applyFill="1" applyBorder="1"/>
    <xf numFmtId="3" fontId="7" fillId="8" borderId="29" xfId="0" applyNumberFormat="1" applyFont="1" applyFill="1" applyBorder="1"/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182" fontId="4" fillId="2" borderId="0" xfId="0" applyNumberFormat="1" applyFont="1" applyFill="1" applyAlignment="1">
      <alignment horizontal="center" wrapText="1"/>
    </xf>
    <xf numFmtId="166" fontId="4" fillId="2" borderId="0" xfId="5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183" fontId="4" fillId="2" borderId="0" xfId="0" applyNumberFormat="1" applyFont="1" applyFill="1" applyAlignment="1">
      <alignment horizontal="center" wrapText="1"/>
    </xf>
    <xf numFmtId="2" fontId="4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center" wrapText="1"/>
    </xf>
    <xf numFmtId="2" fontId="12" fillId="2" borderId="0" xfId="0" applyNumberFormat="1" applyFont="1" applyFill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11" fillId="0" borderId="0" xfId="0" applyFont="1"/>
    <xf numFmtId="0" fontId="11" fillId="5" borderId="1" xfId="0" applyFon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11" fillId="5" borderId="1" xfId="0" applyNumberFormat="1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11" fillId="10" borderId="1" xfId="0" applyNumberFormat="1" applyFont="1" applyFill="1" applyBorder="1" applyAlignment="1">
      <alignment horizontal="center"/>
    </xf>
    <xf numFmtId="0" fontId="11" fillId="11" borderId="1" xfId="0" applyFont="1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11" fillId="11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78" fontId="0" fillId="10" borderId="1" xfId="0" applyNumberFormat="1" applyFill="1" applyBorder="1" applyAlignment="1">
      <alignment horizontal="center"/>
    </xf>
    <xf numFmtId="2" fontId="0" fillId="0" borderId="0" xfId="0" applyNumberFormat="1"/>
    <xf numFmtId="0" fontId="4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/>
    </xf>
    <xf numFmtId="166" fontId="4" fillId="0" borderId="1" xfId="5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6" fontId="4" fillId="12" borderId="1" xfId="0" applyNumberFormat="1" applyFont="1" applyFill="1" applyBorder="1" applyAlignment="1">
      <alignment horizontal="center"/>
    </xf>
    <xf numFmtId="164" fontId="7" fillId="0" borderId="29" xfId="0" applyNumberFormat="1" applyFont="1" applyBorder="1"/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4" fontId="4" fillId="0" borderId="0" xfId="0" applyNumberFormat="1" applyFont="1" applyAlignment="1">
      <alignment wrapText="1"/>
    </xf>
    <xf numFmtId="166" fontId="4" fillId="0" borderId="0" xfId="5" applyFont="1"/>
    <xf numFmtId="164" fontId="4" fillId="0" borderId="0" xfId="0" applyNumberFormat="1" applyFont="1"/>
    <xf numFmtId="166" fontId="3" fillId="0" borderId="0" xfId="5" applyFont="1"/>
    <xf numFmtId="184" fontId="4" fillId="0" borderId="0" xfId="6" applyNumberFormat="1" applyFont="1"/>
    <xf numFmtId="168" fontId="4" fillId="6" borderId="0" xfId="0" applyNumberFormat="1" applyFont="1" applyFill="1"/>
    <xf numFmtId="183" fontId="4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82" fontId="4" fillId="0" borderId="1" xfId="0" applyNumberFormat="1" applyFont="1" applyBorder="1" applyAlignment="1">
      <alignment horizontal="center"/>
    </xf>
    <xf numFmtId="172" fontId="4" fillId="0" borderId="1" xfId="1" applyNumberFormat="1" applyFont="1" applyFill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172" fontId="4" fillId="2" borderId="4" xfId="1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horizontal="center" wrapText="1"/>
    </xf>
    <xf numFmtId="172" fontId="4" fillId="2" borderId="33" xfId="1" applyNumberFormat="1" applyFont="1" applyFill="1" applyBorder="1" applyAlignment="1">
      <alignment horizontal="left" wrapText="1"/>
    </xf>
    <xf numFmtId="0" fontId="4" fillId="2" borderId="34" xfId="0" applyFont="1" applyFill="1" applyBorder="1" applyAlignment="1">
      <alignment horizontal="center" wrapText="1"/>
    </xf>
    <xf numFmtId="4" fontId="4" fillId="2" borderId="34" xfId="0" applyNumberFormat="1" applyFont="1" applyFill="1" applyBorder="1" applyAlignment="1">
      <alignment horizontal="center" wrapText="1"/>
    </xf>
    <xf numFmtId="4" fontId="4" fillId="2" borderId="35" xfId="0" applyNumberFormat="1" applyFont="1" applyFill="1" applyBorder="1" applyAlignment="1">
      <alignment horizontal="center" wrapText="1"/>
    </xf>
    <xf numFmtId="166" fontId="4" fillId="0" borderId="0" xfId="0" applyNumberFormat="1" applyFont="1" applyAlignment="1">
      <alignment wrapText="1"/>
    </xf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3" borderId="22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</cellXfs>
  <cellStyles count="7">
    <cellStyle name="Millares 2" xfId="1" xr:uid="{00000000-0005-0000-0000-000000000000}"/>
    <cellStyle name="Moneda [0]" xfId="5" builtinId="7"/>
    <cellStyle name="Moneda [0] 2" xfId="2" xr:uid="{00000000-0005-0000-0000-000002000000}"/>
    <cellStyle name="Moneda 2" xfId="3" xr:uid="{00000000-0005-0000-0000-000003000000}"/>
    <cellStyle name="Normal" xfId="0" builtinId="0"/>
    <cellStyle name="Normal 2" xfId="4" xr:uid="{00000000-0005-0000-0000-000005000000}"/>
    <cellStyle name="Porcentaj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7</xdr:col>
      <xdr:colOff>963295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1D4537-71C5-446F-A706-FAE002932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60826356-0C0E-4E47-9729-263613071F1D}"/>
            </a:ext>
            <a:ext uri="{147F2762-F138-4A5C-976F-8EAC2B608ADB}">
              <a16:predDERef xmlns:a16="http://schemas.microsoft.com/office/drawing/2014/main" pred="{1E1D4537-71C5-446F-A706-FAE002932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AB51BE-1E1E-41C7-9215-12E7592C4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C9CE6363-C0B0-432F-9E0A-363B184026F4}"/>
            </a:ext>
            <a:ext uri="{147F2762-F138-4A5C-976F-8EAC2B608ADB}">
              <a16:predDERef xmlns:a16="http://schemas.microsoft.com/office/drawing/2014/main" pred="{E614A094-C923-42DD-8A7F-16931BBAA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96520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71B7CD-09F5-43F2-96BB-E153580BF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D8116F00-A929-488A-9CA4-EA0AD7556A00}"/>
            </a:ext>
            <a:ext uri="{147F2762-F138-4A5C-976F-8EAC2B608ADB}">
              <a16:predDERef xmlns:a16="http://schemas.microsoft.com/office/drawing/2014/main" pred="{8369F995-8334-4D08-8627-40FEA030E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251460</xdr:colOff>
      <xdr:row>0</xdr:row>
      <xdr:rowOff>68580</xdr:rowOff>
    </xdr:from>
    <xdr:ext cx="706755" cy="729615"/>
    <xdr:pic>
      <xdr:nvPicPr>
        <xdr:cNvPr id="2" name="Imagen 1">
          <a:extLst>
            <a:ext uri="{FF2B5EF4-FFF2-40B4-BE49-F238E27FC236}">
              <a16:creationId xmlns:a16="http://schemas.microsoft.com/office/drawing/2014/main" id="{671AD0AE-775F-4523-ABC6-057219381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208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114300</xdr:colOff>
      <xdr:row>0</xdr:row>
      <xdr:rowOff>66675</xdr:rowOff>
    </xdr:from>
    <xdr:ext cx="790575" cy="733425"/>
    <xdr:pic>
      <xdr:nvPicPr>
        <xdr:cNvPr id="3" name="Imagen 1">
          <a:extLst>
            <a:ext uri="{FF2B5EF4-FFF2-40B4-BE49-F238E27FC236}">
              <a16:creationId xmlns:a16="http://schemas.microsoft.com/office/drawing/2014/main" id="{B5EEE5E0-0928-47A5-822B-C21E142E528A}"/>
            </a:ext>
            <a:ext uri="{147F2762-F138-4A5C-976F-8EAC2B608ADB}">
              <a16:predDERef xmlns:a16="http://schemas.microsoft.com/office/drawing/2014/main" pred="{8369F995-8334-4D08-8627-40FEA030E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0550" y="66675"/>
          <a:ext cx="790575" cy="733425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778BC41-AFA7-4062-8763-A1CD87183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5645" cy="74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811FF0CB-523D-460E-BE64-3513C2F7E0A6}"/>
            </a:ext>
            <a:ext uri="{147F2762-F138-4A5C-976F-8EAC2B608ADB}">
              <a16:predDERef xmlns:a16="http://schemas.microsoft.com/office/drawing/2014/main" pred="{DFA484C3-463E-4EA8-BA50-2B0C9C149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4866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D9CA65-A395-49B6-98B9-2A4249300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C33D0992-96D1-44F2-912F-FF2EC8B1C58A}"/>
            </a:ext>
            <a:ext uri="{147F2762-F138-4A5C-976F-8EAC2B608ADB}">
              <a16:predDERef xmlns:a16="http://schemas.microsoft.com/office/drawing/2014/main" pred="{DFA484C3-463E-4EA8-BA50-2B0C9C149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EADD52-3AA8-49BC-BDB2-E5E3BADB1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E58EF111-F9FE-4EA3-8E91-4C34949DE8E5}"/>
            </a:ext>
            <a:ext uri="{147F2762-F138-4A5C-976F-8EAC2B608ADB}">
              <a16:predDERef xmlns:a16="http://schemas.microsoft.com/office/drawing/2014/main" pred="{DFA484C3-463E-4EA8-BA50-2B0C9C149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251460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A980B0-9878-4FEC-905B-21FA267D9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103505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787AB06B-0A99-42F3-ADBA-CC2547D013E4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105410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FF122-51DD-4915-B9D6-8A1F1328B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391B4D42-B9DC-40E1-A4CC-A56BD830108F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251460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0192E6-FD70-4DE6-A02E-4F2FEA399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ECA78491-2A25-4013-BC2A-D2CAEB60C7B1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251460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1ECF69-9A13-469C-A6FD-09B9BDD32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103505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61E88D98-19B5-492D-8119-4BE5683AE656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741D3D3-A935-47E8-B020-299945BC5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37839D85-7749-4220-A127-128769D0A605}"/>
            </a:ext>
            <a:ext uri="{147F2762-F138-4A5C-976F-8EAC2B608ADB}">
              <a16:predDERef xmlns:a16="http://schemas.microsoft.com/office/drawing/2014/main" pred="{D7EE0FF4-04BF-48DB-B8AB-39A747B5E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101600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8BC8E7-DE30-4DE0-ACE4-11E9D3529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3C3CA803-9F41-4CA8-AB3D-D8456060BF08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93DBAB-6E52-408C-B772-5B6F561BE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3229F389-8777-4585-882F-8CDD1F1513D1}"/>
            </a:ext>
            <a:ext uri="{147F2762-F138-4A5C-976F-8EAC2B608ADB}">
              <a16:predDERef xmlns:a16="http://schemas.microsoft.com/office/drawing/2014/main" pred="{CEFA81C4-7DB1-4714-8AFB-A36AF3B33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96520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A656CC-A68E-4CB5-9383-0A5F88236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36031750-2BDC-4486-9496-8631E496F154}"/>
            </a:ext>
            <a:ext uri="{147F2762-F138-4A5C-976F-8EAC2B608ADB}">
              <a16:predDERef xmlns:a16="http://schemas.microsoft.com/office/drawing/2014/main" pred="{3A8FF9E9-4EFC-4DDE-95E0-7862E9FB3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96520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67916D-18B0-4DC8-A4BD-835E978B0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AA2B5FA9-8D5A-4EE7-9F0D-76F75E3C5BD1}"/>
            </a:ext>
            <a:ext uri="{147F2762-F138-4A5C-976F-8EAC2B608ADB}">
              <a16:predDERef xmlns:a16="http://schemas.microsoft.com/office/drawing/2014/main" pred="{3A8FF9E9-4EFC-4DDE-95E0-7862E9FB3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F7473D-9C04-4D3F-AD69-461A4CEEA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CB2D5AB9-8975-4DCE-BB0D-FBB3E4C0FEF7}"/>
            </a:ext>
            <a:ext uri="{147F2762-F138-4A5C-976F-8EAC2B608ADB}">
              <a16:predDERef xmlns:a16="http://schemas.microsoft.com/office/drawing/2014/main" pred="{3A8FF9E9-4EFC-4DDE-95E0-7862E9FB3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6F00B6-07A6-4ED7-9027-7AD4A6B87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1835" cy="7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F55CCD3D-BF61-4DC8-ADC3-3BC5F2AE5C11}"/>
            </a:ext>
            <a:ext uri="{147F2762-F138-4A5C-976F-8EAC2B608ADB}">
              <a16:predDERef xmlns:a16="http://schemas.microsoft.com/office/drawing/2014/main" pred="{494E494E-0B04-43ED-817E-B9BB37F4E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1835" cy="7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A50BBE73-A826-4F30-A787-ECA469572540}"/>
            </a:ext>
            <a:ext uri="{147F2762-F138-4A5C-976F-8EAC2B608ADB}">
              <a16:predDERef xmlns:a16="http://schemas.microsoft.com/office/drawing/2014/main" pred="{291E11E9-B696-4267-9ECE-94F454BAC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43585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7C235B-9BDF-4B4B-9541-00CE73214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1835" cy="7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C70500DA-DAD6-48B1-9735-52C8D1C24443}"/>
            </a:ext>
            <a:ext uri="{147F2762-F138-4A5C-976F-8EAC2B608ADB}">
              <a16:predDERef xmlns:a16="http://schemas.microsoft.com/office/drawing/2014/main" pred="{494E494E-0B04-43ED-817E-B9BB37F4E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1835" cy="7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FD417A31-E09B-4BC5-9C82-8A1A53E9FF7F}"/>
            </a:ext>
            <a:ext uri="{147F2762-F138-4A5C-976F-8EAC2B608ADB}">
              <a16:predDERef xmlns:a16="http://schemas.microsoft.com/office/drawing/2014/main" pred="{291E11E9-B696-4267-9ECE-94F454BAC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43585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4E494E-0B04-43ED-817E-B9BB37F4E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248920</xdr:colOff>
      <xdr:row>5</xdr:row>
      <xdr:rowOff>97790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291E11E9-B696-4267-9ECE-94F454BAC069}"/>
            </a:ext>
            <a:ext uri="{147F2762-F138-4A5C-976F-8EAC2B608ADB}">
              <a16:predDERef xmlns:a16="http://schemas.microsoft.com/office/drawing/2014/main" pred="{494E494E-0B04-43ED-817E-B9BB37F4E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73353ACE-DE2D-4782-9ECF-8D65DB7B96ED}"/>
            </a:ext>
            <a:ext uri="{147F2762-F138-4A5C-976F-8EAC2B608ADB}">
              <a16:predDERef xmlns:a16="http://schemas.microsoft.com/office/drawing/2014/main" pred="{291E11E9-B696-4267-9ECE-94F454BAC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101600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9A8F6DD9-1CF6-4253-8BF8-13E826F0D754}"/>
            </a:ext>
            <a:ext uri="{147F2762-F138-4A5C-976F-8EAC2B608ADB}">
              <a16:predDERef xmlns:a16="http://schemas.microsoft.com/office/drawing/2014/main" pred="{8F811F6C-B9EA-4658-97C5-8293392FF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101600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F4FCEF34-B35F-428C-A627-50AD5FD88C02}"/>
            </a:ext>
            <a:ext uri="{147F2762-F138-4A5C-976F-8EAC2B608ADB}">
              <a16:predDERef xmlns:a16="http://schemas.microsoft.com/office/drawing/2014/main" pred="{9A8F6DD9-1CF6-4253-8BF8-13E826F0D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99695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465481B4-C44C-4358-8419-58DB0C1B9647}"/>
            </a:ext>
            <a:ext uri="{147F2762-F138-4A5C-976F-8EAC2B608ADB}">
              <a16:predDERef xmlns:a16="http://schemas.microsoft.com/office/drawing/2014/main" pred="{F4FCEF34-B35F-428C-A627-50AD5FD88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99060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83D93ECF-24C0-443E-B1DA-CD04BC4E2D67}"/>
            </a:ext>
            <a:ext uri="{147F2762-F138-4A5C-976F-8EAC2B608ADB}">
              <a16:predDERef xmlns:a16="http://schemas.microsoft.com/office/drawing/2014/main" pred="{0F1B84BC-A3E0-4EDA-A7EA-88628924A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99060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1602D656-D54A-43DE-8388-1CD55694A755}"/>
            </a:ext>
            <a:ext uri="{147F2762-F138-4A5C-976F-8EAC2B608ADB}">
              <a16:predDERef xmlns:a16="http://schemas.microsoft.com/office/drawing/2014/main" pred="{83D93ECF-24C0-443E-B1DA-CD04BC4E2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A9B8E4A6-3EEC-49CF-8352-95C48F7A3E84}"/>
            </a:ext>
            <a:ext uri="{147F2762-F138-4A5C-976F-8EAC2B608ADB}">
              <a16:predDERef xmlns:a16="http://schemas.microsoft.com/office/drawing/2014/main" pred="{1602D656-D54A-43DE-8388-1CD55694A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252730</xdr:colOff>
      <xdr:row>5</xdr:row>
      <xdr:rowOff>100330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9020" y="68580"/>
          <a:ext cx="731520" cy="662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523E50-DFDC-4286-80D0-C8E6BC9D3A55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97790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C6817EA9-EB43-4FCE-A3CE-259D5AB76A45}"/>
            </a:ext>
            <a:ext uri="{147F2762-F138-4A5C-976F-8EAC2B608ADB}">
              <a16:predDERef xmlns:a16="http://schemas.microsoft.com/office/drawing/2014/main" pred="{39E35E48-0846-431E-A94F-4FB4CB39B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97790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326AA93-6FC7-4955-85A4-2635F64CF87C}"/>
            </a:ext>
            <a:ext uri="{147F2762-F138-4A5C-976F-8EAC2B608ADB}">
              <a16:predDERef xmlns:a16="http://schemas.microsoft.com/office/drawing/2014/main" pred="{C6817EA9-EB43-4FCE-A3CE-259D5AB76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2D9F83AC-A2E4-4CF7-9BD2-EF56A07569B2}"/>
            </a:ext>
            <a:ext uri="{147F2762-F138-4A5C-976F-8EAC2B608ADB}">
              <a16:predDERef xmlns:a16="http://schemas.microsoft.com/office/drawing/2014/main" pred="{0326AA93-6FC7-4955-85A4-2635F64CF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2</xdr:row>
      <xdr:rowOff>57150</xdr:rowOff>
    </xdr:from>
    <xdr:to>
      <xdr:col>16</xdr:col>
      <xdr:colOff>557083</xdr:colOff>
      <xdr:row>19</xdr:row>
      <xdr:rowOff>138652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07C954-7204-4E41-8E69-5E1C98393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6700" y="426720"/>
          <a:ext cx="9064813" cy="318284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D39A57-6C39-41DC-9642-85D359DD1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BF1335-5FBC-4173-B960-2583EF4D8197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99060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95ED37-1E56-45D0-9954-3D65F59F2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BFD701-FC02-4A0E-ADAF-3AFFDF4C41FC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254000</xdr:colOff>
      <xdr:row>5</xdr:row>
      <xdr:rowOff>96520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D9EE67-36AE-4DB0-ACFC-6A43E8BB4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100965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C49D9FC6-17E6-4D37-B69C-7CFE432AD27D}"/>
            </a:ext>
            <a:ext uri="{147F2762-F138-4A5C-976F-8EAC2B608ADB}">
              <a16:predDERef xmlns:a16="http://schemas.microsoft.com/office/drawing/2014/main" pred="{5CD5E4B5-6D1C-40C9-8C58-0EE8A4A6F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99060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17A157-2F96-482B-9EA8-12F3BDE07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97155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5606F9B6-0A4F-4F20-9F67-832B0C13CB03}"/>
            </a:ext>
            <a:ext uri="{147F2762-F138-4A5C-976F-8EAC2B608ADB}">
              <a16:predDERef xmlns:a16="http://schemas.microsoft.com/office/drawing/2014/main" pred="{5CD5E4B5-6D1C-40C9-8C58-0EE8A4A6F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254000</xdr:colOff>
      <xdr:row>5</xdr:row>
      <xdr:rowOff>101600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1EA544-3473-4D31-8C43-3557B6893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95885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89BAA729-B26B-4B46-98B8-46838889E4C4}"/>
            </a:ext>
            <a:ext uri="{147F2762-F138-4A5C-976F-8EAC2B608ADB}">
              <a16:predDERef xmlns:a16="http://schemas.microsoft.com/office/drawing/2014/main" pred="{5CD5E4B5-6D1C-40C9-8C58-0EE8A4A6F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250190</xdr:colOff>
      <xdr:row>5</xdr:row>
      <xdr:rowOff>97790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2B42C6-8442-4BB5-94BD-EA1057A1C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13105" cy="7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98425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A872989C-D0DA-4D9F-8E74-88D119ECC9C1}"/>
            </a:ext>
            <a:ext uri="{147F2762-F138-4A5C-976F-8EAC2B608ADB}">
              <a16:predDERef xmlns:a16="http://schemas.microsoft.com/office/drawing/2014/main" pred="{E614A094-C923-42DD-8A7F-16931BBAA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46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view="pageBreakPreview" zoomScale="90" zoomScaleNormal="100" zoomScaleSheetLayoutView="90" workbookViewId="0">
      <selection activeCell="L31" sqref="L31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7" width="10.7109375" style="1" customWidth="1"/>
    <col min="8" max="8" width="14.7109375" style="1" customWidth="1"/>
    <col min="9" max="9" width="4.5703125" style="1" customWidth="1"/>
    <col min="10" max="10" width="11.42578125" style="1" bestFit="1" customWidth="1"/>
    <col min="11" max="11" width="21.28515625" style="1" customWidth="1"/>
    <col min="12" max="12" width="16.85546875" style="1" customWidth="1"/>
    <col min="13" max="13" width="10.7109375" style="1"/>
    <col min="14" max="14" width="17.28515625" style="1" customWidth="1"/>
    <col min="15" max="15" width="10.7109375" style="1"/>
    <col min="16" max="16" width="10.7109375" style="1" customWidth="1"/>
    <col min="17" max="17" width="10.7109375" style="1"/>
    <col min="18" max="18" width="15.5703125" style="1" customWidth="1"/>
    <col min="19" max="16384" width="10.7109375" style="1"/>
  </cols>
  <sheetData>
    <row r="1" spans="1:12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2" x14ac:dyDescent="0.2">
      <c r="A2" s="46" t="s">
        <v>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2" x14ac:dyDescent="0.2">
      <c r="A3" s="46"/>
      <c r="B3" s="47"/>
      <c r="C3" s="47"/>
      <c r="D3" s="47"/>
      <c r="E3" s="47"/>
      <c r="F3" s="47"/>
      <c r="G3" s="47"/>
      <c r="H3" s="47"/>
      <c r="I3" s="48"/>
    </row>
    <row r="4" spans="1:12" x14ac:dyDescent="0.2">
      <c r="A4" s="49" t="s">
        <v>1</v>
      </c>
      <c r="B4" s="47"/>
      <c r="C4" s="47"/>
      <c r="D4" s="47"/>
      <c r="E4" s="47"/>
      <c r="F4" s="47"/>
      <c r="G4" s="47"/>
      <c r="H4" s="47"/>
      <c r="I4" s="48"/>
    </row>
    <row r="5" spans="1:12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2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2" x14ac:dyDescent="0.2">
      <c r="A7" s="202" t="s">
        <v>2</v>
      </c>
      <c r="B7" s="203"/>
      <c r="C7" s="203"/>
      <c r="D7" s="203"/>
      <c r="E7" s="203"/>
      <c r="F7" s="203"/>
      <c r="G7" s="203"/>
      <c r="H7" s="203"/>
      <c r="I7" s="204"/>
    </row>
    <row r="8" spans="1:12" x14ac:dyDescent="0.2">
      <c r="A8" s="35"/>
      <c r="B8" s="4"/>
      <c r="C8" s="4"/>
      <c r="D8" s="5"/>
      <c r="E8" s="23" t="s">
        <v>3</v>
      </c>
      <c r="F8" s="24">
        <v>894.82</v>
      </c>
      <c r="G8" s="23" t="s">
        <v>4</v>
      </c>
      <c r="H8" s="85">
        <v>34817</v>
      </c>
      <c r="I8" s="36"/>
    </row>
    <row r="9" spans="1:12" x14ac:dyDescent="0.2">
      <c r="A9" s="35"/>
      <c r="B9" s="4"/>
      <c r="C9" s="4"/>
      <c r="D9" s="5"/>
      <c r="E9" s="23" t="s">
        <v>5</v>
      </c>
      <c r="F9" s="24" t="s">
        <v>6</v>
      </c>
      <c r="G9" s="23" t="s">
        <v>7</v>
      </c>
      <c r="H9" s="150">
        <f>VLOOKUP(F9,'Factor Socioeconómico'!C3:E18,3,FALSE)</f>
        <v>0.70775144138372836</v>
      </c>
      <c r="I9" s="36"/>
    </row>
    <row r="10" spans="1:12" ht="22.5" customHeight="1" thickBot="1" x14ac:dyDescent="0.25">
      <c r="A10" s="35"/>
      <c r="B10" s="89" t="s">
        <v>8</v>
      </c>
      <c r="C10" s="205" t="s">
        <v>9</v>
      </c>
      <c r="D10" s="205"/>
      <c r="E10" s="205"/>
      <c r="F10" s="205"/>
      <c r="G10" s="205"/>
      <c r="H10" s="205"/>
      <c r="I10" s="36"/>
    </row>
    <row r="11" spans="1:12" x14ac:dyDescent="0.2">
      <c r="A11" s="34"/>
      <c r="B11" s="5"/>
      <c r="C11" s="177" t="s">
        <v>10</v>
      </c>
      <c r="D11" s="178" t="s">
        <v>11</v>
      </c>
      <c r="E11" s="178" t="s">
        <v>12</v>
      </c>
      <c r="F11" s="179" t="s">
        <v>13</v>
      </c>
      <c r="G11" s="5"/>
      <c r="H11" s="5"/>
      <c r="I11" s="36"/>
    </row>
    <row r="12" spans="1:12" s="146" customFormat="1" x14ac:dyDescent="0.2">
      <c r="A12" s="141"/>
      <c r="B12" s="142"/>
      <c r="C12" s="193" t="str">
        <f>'Est. Techo'!A7</f>
        <v>ESTRUCTURA SOBRE TECHO</v>
      </c>
      <c r="D12" s="194" t="str">
        <f>'Est. Techo'!F8</f>
        <v>kWp</v>
      </c>
      <c r="E12" s="195">
        <f>F12*0.75</f>
        <v>1.39377387952313</v>
      </c>
      <c r="F12" s="196">
        <f>'Est. Techo'!H54/H8</f>
        <v>1.8583651726975068</v>
      </c>
      <c r="G12" s="143"/>
      <c r="H12" s="144"/>
      <c r="I12" s="145"/>
      <c r="L12" s="180"/>
    </row>
    <row r="13" spans="1:12" s="146" customFormat="1" x14ac:dyDescent="0.2">
      <c r="A13" s="141"/>
      <c r="B13" s="142"/>
      <c r="C13" s="193" t="str">
        <f>'Est. Suelo'!A7</f>
        <v>ESTRUCTURA SOBRE SUELO</v>
      </c>
      <c r="D13" s="194" t="str">
        <f>'Est. Suelo'!F8</f>
        <v>kWp</v>
      </c>
      <c r="E13" s="195">
        <f t="shared" ref="E13:E39" si="0">F13*0.75</f>
        <v>1.8974777422777023</v>
      </c>
      <c r="F13" s="196">
        <f>'Est. Suelo'!H64/H8</f>
        <v>2.5299703230369364</v>
      </c>
      <c r="G13" s="143"/>
      <c r="H13" s="144"/>
      <c r="I13" s="145"/>
    </row>
    <row r="14" spans="1:12" s="146" customFormat="1" x14ac:dyDescent="0.2">
      <c r="A14" s="141"/>
      <c r="B14" s="142"/>
      <c r="C14" s="193" t="str">
        <f>'Fund. Hormigon'!A7</f>
        <v>FUNDACIÓN DE ESTRUCURAS CON HORMIGÓN</v>
      </c>
      <c r="D14" s="194" t="str">
        <f>'Fund. Hormigon'!F8</f>
        <v>m3</v>
      </c>
      <c r="E14" s="195">
        <f t="shared" si="0"/>
        <v>2.1117251689223524</v>
      </c>
      <c r="F14" s="196">
        <f>'Fund. Hormigon'!H46/H8</f>
        <v>2.8156335585631362</v>
      </c>
      <c r="G14" s="143"/>
      <c r="H14" s="144"/>
      <c r="I14" s="145"/>
    </row>
    <row r="15" spans="1:12" s="146" customFormat="1" x14ac:dyDescent="0.2">
      <c r="A15" s="141"/>
      <c r="B15" s="142"/>
      <c r="C15" s="193" t="str">
        <f>'Fund. Tornillo'!A7</f>
        <v>FUNDACIÓN DE ESTRUCTURAS CON TORNILLOS</v>
      </c>
      <c r="D15" s="194" t="str">
        <f>'Fund. Tornillo'!F8</f>
        <v>UNIDAD</v>
      </c>
      <c r="E15" s="195">
        <f t="shared" si="0"/>
        <v>1.4773585664899647</v>
      </c>
      <c r="F15" s="196">
        <f>'Fund. Tornillo'!H45/H8</f>
        <v>1.9698114219866196</v>
      </c>
      <c r="G15" s="143"/>
      <c r="H15" s="144"/>
      <c r="I15" s="145"/>
    </row>
    <row r="16" spans="1:12" s="146" customFormat="1" ht="22.5" x14ac:dyDescent="0.2">
      <c r="A16" s="141"/>
      <c r="B16" s="142"/>
      <c r="C16" s="193" t="str">
        <f>'Paneles Techo H&lt; 4m'!A7</f>
        <v>SUMINISTRO E INSTALACIÓN DE PANELES FOTOVOLTAICOS SOBRE TECHO (Altura &lt;  4m)</v>
      </c>
      <c r="D16" s="194" t="str">
        <f>'Paneles Techo H&lt; 4m'!F8</f>
        <v>kWp</v>
      </c>
      <c r="E16" s="195">
        <f t="shared" si="0"/>
        <v>13.205996737797655</v>
      </c>
      <c r="F16" s="196">
        <f>'Paneles Techo H&lt; 4m'!H49/H8</f>
        <v>17.607995650396873</v>
      </c>
      <c r="G16" s="143"/>
      <c r="H16" s="144"/>
      <c r="I16" s="145"/>
    </row>
    <row r="17" spans="1:16" s="146" customFormat="1" ht="22.5" x14ac:dyDescent="0.2">
      <c r="A17" s="141"/>
      <c r="B17" s="142"/>
      <c r="C17" s="193" t="s">
        <v>14</v>
      </c>
      <c r="D17" s="194" t="str">
        <f>'Paneles Techo H&gt;4m'!F8</f>
        <v>kWp</v>
      </c>
      <c r="E17" s="195">
        <f t="shared" si="0"/>
        <v>13.253221678752674</v>
      </c>
      <c r="F17" s="196">
        <f>'Paneles Techo H&gt;4m'!H49/H8</f>
        <v>17.670962238336898</v>
      </c>
      <c r="G17" s="143"/>
      <c r="H17" s="144"/>
      <c r="I17" s="145"/>
    </row>
    <row r="18" spans="1:16" s="146" customFormat="1" ht="22.5" x14ac:dyDescent="0.2">
      <c r="A18" s="141"/>
      <c r="B18" s="142"/>
      <c r="C18" s="193" t="str">
        <f>'Paneles Suelo'!A7</f>
        <v>SUMINISTRO E INSTALACIÓN DE PANELES FOTOVOLTAICOS SOBRE SUELO</v>
      </c>
      <c r="D18" s="194" t="str">
        <f>'Paneles Suelo'!F8</f>
        <v>kWp</v>
      </c>
      <c r="E18" s="195">
        <f t="shared" si="0"/>
        <v>12.392699452278201</v>
      </c>
      <c r="F18" s="196">
        <f>'Paneles Suelo'!H47/H8</f>
        <v>16.523599269704267</v>
      </c>
      <c r="G18" s="143"/>
      <c r="H18" s="144"/>
      <c r="I18" s="145"/>
    </row>
    <row r="19" spans="1:16" s="146" customFormat="1" ht="22.5" x14ac:dyDescent="0.2">
      <c r="A19" s="141"/>
      <c r="B19" s="142"/>
      <c r="C19" s="193" t="str">
        <f>'Inversor 3F 10-50 kVA'!A7</f>
        <v>SUMINISTRO E INSTALACIÓN DE INVERSOR ON-GRID TRIFÁSICO (10-50KVA)</v>
      </c>
      <c r="D19" s="194" t="str">
        <f>'Inversor 3F 10-50 kVA'!F8</f>
        <v>kVA</v>
      </c>
      <c r="E19" s="195">
        <f t="shared" si="0"/>
        <v>3.4061878289046557</v>
      </c>
      <c r="F19" s="196">
        <f>'Inversor 3F 10-50 kVA'!H46/H8</f>
        <v>4.5415837718728742</v>
      </c>
      <c r="G19" s="143"/>
      <c r="H19" s="144"/>
      <c r="I19" s="145"/>
    </row>
    <row r="20" spans="1:16" s="146" customFormat="1" ht="22.5" x14ac:dyDescent="0.2">
      <c r="A20" s="141"/>
      <c r="B20" s="142"/>
      <c r="C20" s="193" t="str">
        <f>'Inversor 3F 50-100kVA'!A7</f>
        <v>SUMINISTRO E INSTALACIÓN DE INVERSOR ON-GRID TRIFÁSICO (50-100kVA)</v>
      </c>
      <c r="D20" s="194" t="str">
        <f>'Inversor 3F 50-100kVA'!F8</f>
        <v>kVA</v>
      </c>
      <c r="E20" s="195">
        <f t="shared" si="0"/>
        <v>2.3208159784077727</v>
      </c>
      <c r="F20" s="196">
        <f>'Inversor 3F 50-100kVA'!H46/H8</f>
        <v>3.094421304543697</v>
      </c>
      <c r="G20" s="143"/>
      <c r="H20" s="144"/>
      <c r="I20" s="145"/>
    </row>
    <row r="21" spans="1:16" s="146" customFormat="1" ht="22.5" x14ac:dyDescent="0.2">
      <c r="A21" s="141"/>
      <c r="B21" s="142"/>
      <c r="C21" s="193" t="str">
        <f>'Inversor 1F'!A7</f>
        <v>SUMINISTRO E INSTALACIÓN DE INVERSOR ON-GRID MONOFÁSICO</v>
      </c>
      <c r="D21" s="194" t="str">
        <f>'Inversor 1F'!F8</f>
        <v>kW</v>
      </c>
      <c r="E21" s="195">
        <f t="shared" si="0"/>
        <v>8.0426269696261414</v>
      </c>
      <c r="F21" s="196">
        <f>'Inversor 1F'!H46/H8</f>
        <v>10.723502626168189</v>
      </c>
      <c r="G21" s="143"/>
      <c r="H21" s="144"/>
      <c r="I21" s="145"/>
    </row>
    <row r="22" spans="1:16" s="146" customFormat="1" x14ac:dyDescent="0.2">
      <c r="A22" s="141"/>
      <c r="B22" s="142"/>
      <c r="C22" s="193" t="str">
        <f>'Micro Inv.'!A7</f>
        <v>SUMINISTRO E INSTALACIÓN DE MICRO INVERSORES</v>
      </c>
      <c r="D22" s="194" t="str">
        <f>'Micro Inv.'!F8</f>
        <v>kW</v>
      </c>
      <c r="E22" s="195">
        <f t="shared" si="0"/>
        <v>6.1030300234504242</v>
      </c>
      <c r="F22" s="196">
        <f>'Micro Inv.'!H46/H8</f>
        <v>8.137373364600565</v>
      </c>
      <c r="G22" s="143"/>
      <c r="H22" s="144"/>
      <c r="I22" s="145"/>
    </row>
    <row r="23" spans="1:16" s="146" customFormat="1" x14ac:dyDescent="0.2">
      <c r="A23" s="141"/>
      <c r="B23" s="142"/>
      <c r="C23" s="193" t="str">
        <f>'Pasillo Técnico'!A7</f>
        <v xml:space="preserve">PASILLO TÉCNICO </v>
      </c>
      <c r="D23" s="194" t="s">
        <v>15</v>
      </c>
      <c r="E23" s="195">
        <f t="shared" si="0"/>
        <v>1.4094447476999581</v>
      </c>
      <c r="F23" s="196">
        <f>'Pasillo Técnico'!H49/H8</f>
        <v>1.8792596635999441</v>
      </c>
      <c r="G23" s="143"/>
      <c r="H23" s="144"/>
      <c r="I23" s="145"/>
    </row>
    <row r="24" spans="1:16" s="146" customFormat="1" x14ac:dyDescent="0.2">
      <c r="A24" s="141"/>
      <c r="B24" s="142"/>
      <c r="C24" s="193" t="str">
        <f>'Canalización DC'!A7</f>
        <v>CANALIZACIÓN Y CABLEADO DC EN PARED</v>
      </c>
      <c r="D24" s="194" t="str">
        <f>'Canalización DC'!F8</f>
        <v>METRO</v>
      </c>
      <c r="E24" s="195">
        <f t="shared" si="0"/>
        <v>0.34815020409339353</v>
      </c>
      <c r="F24" s="196">
        <f>'Canalización DC'!H49/H8</f>
        <v>0.46420027212452469</v>
      </c>
      <c r="G24" s="143"/>
      <c r="H24" s="144"/>
      <c r="I24" s="145"/>
    </row>
    <row r="25" spans="1:16" s="146" customFormat="1" x14ac:dyDescent="0.2">
      <c r="A25" s="141"/>
      <c r="B25" s="142"/>
      <c r="C25" s="193" t="str">
        <f>'Canalización DC Sot.'!A7</f>
        <v>CANALIZACIÓN y CABLEADO DC SOTERRADO</v>
      </c>
      <c r="D25" s="194" t="str">
        <f>'Canalización DC Sot.'!F8</f>
        <v>METRO</v>
      </c>
      <c r="E25" s="195">
        <f t="shared" si="0"/>
        <v>0.35759595278681688</v>
      </c>
      <c r="F25" s="196">
        <f>'Canalización DC Sot.'!H51/H8</f>
        <v>0.47679460371575583</v>
      </c>
      <c r="G25" s="147"/>
      <c r="H25" s="144"/>
      <c r="I25" s="145"/>
      <c r="M25" s="148"/>
    </row>
    <row r="26" spans="1:16" s="146" customFormat="1" x14ac:dyDescent="0.2">
      <c r="A26" s="141"/>
      <c r="B26" s="142"/>
      <c r="C26" s="193" t="str">
        <f>'T. AC 1F 1-10kW'!A7</f>
        <v>TABLERO AC 1F 1-10kW</v>
      </c>
      <c r="D26" s="194" t="str">
        <f>'T. AC 1F 1-10kW'!F8</f>
        <v>kW</v>
      </c>
      <c r="E26" s="195">
        <f t="shared" si="0"/>
        <v>0.53818847111120227</v>
      </c>
      <c r="F26" s="196">
        <f>'T. AC 1F 1-10kW'!H50/H8</f>
        <v>0.71758462814826973</v>
      </c>
      <c r="G26" s="147"/>
      <c r="H26" s="144"/>
      <c r="I26" s="145"/>
    </row>
    <row r="27" spans="1:16" s="146" customFormat="1" x14ac:dyDescent="0.2">
      <c r="A27" s="141"/>
      <c r="B27" s="142"/>
      <c r="C27" s="193" t="str">
        <f>'T. AC 3F 8-50kVA'!A7</f>
        <v>TABLERO AC 8-50kVA</v>
      </c>
      <c r="D27" s="194" t="str">
        <f>'T. AC 3F 8-50kVA'!F8</f>
        <v>kVA</v>
      </c>
      <c r="E27" s="195">
        <f t="shared" si="0"/>
        <v>0.65288418187373654</v>
      </c>
      <c r="F27" s="196">
        <f>'T. AC 3F 8-50kVA'!H50/H8</f>
        <v>0.87051224249831538</v>
      </c>
      <c r="G27" s="147"/>
      <c r="H27" s="144"/>
      <c r="I27" s="145"/>
      <c r="K27" s="149"/>
    </row>
    <row r="28" spans="1:16" s="146" customFormat="1" x14ac:dyDescent="0.2">
      <c r="A28" s="141"/>
      <c r="B28" s="142"/>
      <c r="C28" s="193" t="str">
        <f>'T. AC 3F 50-100kVA'!A7</f>
        <v>TABLERO AC 3F 50-100kVA</v>
      </c>
      <c r="D28" s="194" t="str">
        <f>'T. AC 3F 50-100kVA'!F8</f>
        <v>kVA</v>
      </c>
      <c r="E28" s="195">
        <f t="shared" si="0"/>
        <v>0.77722001184356682</v>
      </c>
      <c r="F28" s="196">
        <f>'T. AC 3F 50-100kVA'!H52/H8</f>
        <v>1.0362933491247557</v>
      </c>
      <c r="G28" s="147"/>
      <c r="H28" s="144"/>
      <c r="I28" s="145"/>
      <c r="K28" s="149"/>
    </row>
    <row r="29" spans="1:16" s="146" customFormat="1" x14ac:dyDescent="0.2">
      <c r="A29" s="141"/>
      <c r="B29" s="142"/>
      <c r="C29" s="193" t="str">
        <f>'T. AC 3F 100-150kVA'!A7</f>
        <v>TABLERO AC 3F 100-150 kVA</v>
      </c>
      <c r="D29" s="194" t="str">
        <f>'T. AC 3F 100-150kVA'!F8</f>
        <v>kVA</v>
      </c>
      <c r="E29" s="195">
        <f t="shared" si="0"/>
        <v>1.1461574854408987</v>
      </c>
      <c r="F29" s="196">
        <f>'T. AC 3F 100-150kVA'!H53/H8</f>
        <v>1.5282099805878648</v>
      </c>
      <c r="G29" s="147"/>
      <c r="H29" s="144"/>
      <c r="I29" s="145"/>
      <c r="K29" s="149"/>
    </row>
    <row r="30" spans="1:16" s="146" customFormat="1" x14ac:dyDescent="0.2">
      <c r="A30" s="141"/>
      <c r="B30" s="142"/>
      <c r="C30" s="193" t="str">
        <f>'T. AC 3F 150-200kVA'!A7</f>
        <v>TABLERO AC 3F 150-200 kVA</v>
      </c>
      <c r="D30" s="194" t="str">
        <f>'T. AC 3F 150-200kVA'!F8</f>
        <v>kVA</v>
      </c>
      <c r="E30" s="195">
        <f t="shared" si="0"/>
        <v>1.1018343659877579</v>
      </c>
      <c r="F30" s="196">
        <f>'T. AC 3F 150-200kVA'!H53/H8</f>
        <v>1.4691124879836772</v>
      </c>
      <c r="G30" s="147"/>
      <c r="H30" s="144"/>
      <c r="I30" s="145"/>
    </row>
    <row r="31" spans="1:16" s="146" customFormat="1" x14ac:dyDescent="0.2">
      <c r="A31" s="141"/>
      <c r="B31" s="142"/>
      <c r="C31" s="193" t="str">
        <f>'T. AC 3F 200-300kVA '!A7</f>
        <v>TABLERO AC 3F 200-300 kVA</v>
      </c>
      <c r="D31" s="194" t="str">
        <f>'T. AC 3F 200-300kVA '!F8</f>
        <v>kVA</v>
      </c>
      <c r="E31" s="195">
        <f t="shared" si="0"/>
        <v>2.7379468867015344</v>
      </c>
      <c r="F31" s="196">
        <f>'T. AC 3F 200-300kVA '!H53/H8</f>
        <v>3.6505958489353794</v>
      </c>
      <c r="G31" s="147"/>
      <c r="H31" s="144"/>
      <c r="I31" s="145"/>
      <c r="N31" s="180"/>
    </row>
    <row r="32" spans="1:16" s="146" customFormat="1" x14ac:dyDescent="0.2">
      <c r="A32" s="141"/>
      <c r="B32" s="142"/>
      <c r="C32" s="193" t="str">
        <f>'P. RI'!A7</f>
        <v>PROTECCIÓN RI</v>
      </c>
      <c r="D32" s="194" t="str">
        <f>'P. RI'!F8</f>
        <v>UNIDAD</v>
      </c>
      <c r="E32" s="195">
        <f t="shared" si="0"/>
        <v>15.180194938831544</v>
      </c>
      <c r="F32" s="196">
        <f>'P. RI'!H48/H8</f>
        <v>20.24025991844206</v>
      </c>
      <c r="G32" s="147"/>
      <c r="H32" s="144"/>
      <c r="I32" s="145"/>
      <c r="L32" s="180"/>
      <c r="N32" s="180"/>
      <c r="P32" s="180"/>
    </row>
    <row r="33" spans="1:18" s="146" customFormat="1" x14ac:dyDescent="0.2">
      <c r="A33" s="141"/>
      <c r="B33" s="142"/>
      <c r="C33" s="193" t="str">
        <f>'C. RI'!A7</f>
        <v>CANALIZACIÓN PARA PROTECCIÓN RI</v>
      </c>
      <c r="D33" s="194" t="str">
        <f>'C. RI SO'!F8</f>
        <v>METROS</v>
      </c>
      <c r="E33" s="195">
        <f t="shared" si="0"/>
        <v>0.1594416081546067</v>
      </c>
      <c r="F33" s="196">
        <f>'C. RI SO'!H50/H8</f>
        <v>0.21258881087280893</v>
      </c>
      <c r="G33" s="147"/>
      <c r="H33" s="144"/>
      <c r="I33" s="145"/>
    </row>
    <row r="34" spans="1:18" s="146" customFormat="1" x14ac:dyDescent="0.2">
      <c r="A34" s="141"/>
      <c r="B34" s="142"/>
      <c r="C34" s="193" t="str">
        <f>'Medidor Bidireccional 1F'!A7</f>
        <v>MEDIDOR BIDIRECCIONAL MONOFÁSICO</v>
      </c>
      <c r="D34" s="194" t="s">
        <v>16</v>
      </c>
      <c r="E34" s="195">
        <f t="shared" si="0"/>
        <v>1.995759130988418</v>
      </c>
      <c r="F34" s="196">
        <f>'Medidor Bidireccional 1F'!H52/H8</f>
        <v>2.6610121746512241</v>
      </c>
      <c r="G34" s="147"/>
      <c r="H34" s="144"/>
      <c r="I34" s="145"/>
    </row>
    <row r="35" spans="1:18" s="146" customFormat="1" x14ac:dyDescent="0.2">
      <c r="A35" s="141"/>
      <c r="B35" s="142"/>
      <c r="C35" s="193" t="str">
        <f>'Medidor Bidireccional 3F'!A7</f>
        <v>MEDIDOR BIDIRECCIONAL TRIFÁSICO</v>
      </c>
      <c r="D35" s="194" t="s">
        <v>16</v>
      </c>
      <c r="E35" s="195">
        <f t="shared" si="0"/>
        <v>8.4137881326255499</v>
      </c>
      <c r="F35" s="196">
        <f>'Medidor Bidireccional 3F'!H52/H8</f>
        <v>11.218384176834066</v>
      </c>
      <c r="G35" s="147"/>
      <c r="H35" s="144"/>
      <c r="I35" s="145"/>
    </row>
    <row r="36" spans="1:18" s="146" customFormat="1" x14ac:dyDescent="0.2">
      <c r="A36" s="141"/>
      <c r="B36" s="142"/>
      <c r="C36" s="193" t="str">
        <f>'Medición 1 F'!A7</f>
        <v>MEDICIÓN BIDIRECCIONAL  MONOFÁSICA EN POSTE</v>
      </c>
      <c r="D36" s="194" t="str">
        <f>'Medidor Bidireccional 1F'!F8</f>
        <v>UNIDAD</v>
      </c>
      <c r="E36" s="195">
        <f t="shared" si="0"/>
        <v>6.6678251462708751</v>
      </c>
      <c r="F36" s="196">
        <f>'Medición 1 F'!H52/H8</f>
        <v>8.8904335283611662</v>
      </c>
      <c r="G36" s="147"/>
      <c r="H36" s="144"/>
      <c r="I36" s="145"/>
    </row>
    <row r="37" spans="1:18" s="146" customFormat="1" x14ac:dyDescent="0.2">
      <c r="A37" s="141"/>
      <c r="B37" s="142"/>
      <c r="C37" s="193" t="s">
        <v>17</v>
      </c>
      <c r="D37" s="194" t="s">
        <v>16</v>
      </c>
      <c r="E37" s="195">
        <f t="shared" si="0"/>
        <v>22.651025768883805</v>
      </c>
      <c r="F37" s="196">
        <f>'MEDICIÓN 3F DIRECTA'!H57/H8</f>
        <v>30.201367691845075</v>
      </c>
      <c r="G37" s="147"/>
      <c r="H37" s="144"/>
      <c r="I37" s="145"/>
      <c r="L37" s="180"/>
      <c r="N37" s="180"/>
    </row>
    <row r="38" spans="1:18" s="146" customFormat="1" x14ac:dyDescent="0.2">
      <c r="A38" s="141"/>
      <c r="B38" s="142"/>
      <c r="C38" s="193" t="s">
        <v>18</v>
      </c>
      <c r="D38" s="194" t="s">
        <v>16</v>
      </c>
      <c r="E38" s="195">
        <f t="shared" si="0"/>
        <v>103.89448162378227</v>
      </c>
      <c r="F38" s="196">
        <f>'MEDICIÓN 3F INDIRECTA'!H87/H8</f>
        <v>138.52597549837637</v>
      </c>
      <c r="G38" s="147"/>
      <c r="H38" s="144"/>
      <c r="I38" s="145"/>
    </row>
    <row r="39" spans="1:18" s="146" customFormat="1" x14ac:dyDescent="0.2">
      <c r="A39" s="141"/>
      <c r="B39" s="142"/>
      <c r="C39" s="197" t="s">
        <v>19</v>
      </c>
      <c r="D39" s="198" t="s">
        <v>16</v>
      </c>
      <c r="E39" s="199">
        <f t="shared" si="0"/>
        <v>27.048265192154048</v>
      </c>
      <c r="F39" s="200">
        <f>'MEDICIÓN 3F Semi directa'!H63/H8</f>
        <v>36.064353589538733</v>
      </c>
      <c r="G39" s="147"/>
      <c r="H39" s="144"/>
      <c r="I39" s="145"/>
      <c r="K39" s="201"/>
      <c r="P39" s="180"/>
    </row>
    <row r="40" spans="1:18" x14ac:dyDescent="0.2">
      <c r="A40" s="34"/>
      <c r="B40" s="13"/>
      <c r="C40" s="14"/>
      <c r="D40" s="26"/>
      <c r="E40" s="26"/>
      <c r="F40" s="26"/>
      <c r="G40" s="29"/>
      <c r="H40" s="16"/>
      <c r="I40" s="36"/>
      <c r="K40" s="91"/>
    </row>
    <row r="41" spans="1:18" ht="12" thickBot="1" x14ac:dyDescent="0.25">
      <c r="A41" s="37"/>
      <c r="B41" s="38"/>
      <c r="C41" s="38"/>
      <c r="D41" s="38"/>
      <c r="E41" s="38"/>
      <c r="F41" s="38"/>
      <c r="G41" s="38"/>
      <c r="H41" s="38"/>
      <c r="I41" s="39"/>
      <c r="K41" s="91"/>
    </row>
    <row r="42" spans="1:18" x14ac:dyDescent="0.2">
      <c r="K42" s="91"/>
    </row>
    <row r="43" spans="1:18" x14ac:dyDescent="0.2">
      <c r="L43" s="181"/>
      <c r="N43" s="181"/>
      <c r="P43" s="181"/>
      <c r="R43" s="183"/>
    </row>
    <row r="46" spans="1:18" x14ac:dyDescent="0.2">
      <c r="N46" s="182"/>
      <c r="P46" s="182"/>
    </row>
    <row r="47" spans="1:18" x14ac:dyDescent="0.2">
      <c r="N47" s="182"/>
      <c r="P47" s="182"/>
    </row>
    <row r="49" spans="14:16" x14ac:dyDescent="0.2">
      <c r="N49" s="182"/>
      <c r="P49" s="182"/>
    </row>
    <row r="55" spans="14:16" x14ac:dyDescent="0.2">
      <c r="N55" s="91"/>
    </row>
    <row r="58" spans="14:16" x14ac:dyDescent="0.2">
      <c r="N58" s="184"/>
    </row>
  </sheetData>
  <mergeCells count="2">
    <mergeCell ref="A7:I7"/>
    <mergeCell ref="C10:H10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5A4E9F4-3C19-46A3-882B-2EC36E8C18AE}">
          <x14:formula1>
            <xm:f>'Factor Socioeconómico'!$C$3:$C$17</xm:f>
          </x14:formula1>
          <xm:sqref>F9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view="pageBreakPreview" zoomScaleNormal="100" zoomScaleSheetLayoutView="100" workbookViewId="0">
      <selection activeCell="J11" sqref="J11:K21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133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7"/>
      <c r="C14" s="111" t="s">
        <v>134</v>
      </c>
      <c r="D14" s="102" t="s">
        <v>36</v>
      </c>
      <c r="E14" s="102">
        <v>1</v>
      </c>
      <c r="F14" s="102">
        <v>0</v>
      </c>
      <c r="G14" s="105">
        <f>105*$F$9</f>
        <v>93956.1</v>
      </c>
      <c r="H14" s="106">
        <f>E14*(1+F14)*G14</f>
        <v>93956.1</v>
      </c>
      <c r="I14" s="36"/>
      <c r="J14" s="122"/>
    </row>
    <row r="15" spans="1:11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93956.1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</f>
        <v>93956.1</v>
      </c>
      <c r="I16" s="36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  <c r="K17" s="92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  <c r="M18" s="8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3" t="s">
        <v>127</v>
      </c>
      <c r="D20" s="21" t="s">
        <v>128</v>
      </c>
      <c r="E20" s="21">
        <v>1</v>
      </c>
      <c r="F20" s="21">
        <f>0.05*H16</f>
        <v>4697.8050000000003</v>
      </c>
      <c r="G20" s="21"/>
      <c r="H20" s="22">
        <f>E20*F20</f>
        <v>4697.8050000000003</v>
      </c>
      <c r="I20" s="33"/>
      <c r="K20" s="9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4697.8050000000003</v>
      </c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587.22562500000004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7"/>
      <c r="C26" s="53" t="s">
        <v>117</v>
      </c>
      <c r="D26" s="21" t="s">
        <v>54</v>
      </c>
      <c r="E26" s="54">
        <v>0.25</v>
      </c>
      <c r="F26" s="81">
        <v>40000</v>
      </c>
      <c r="G26" s="7"/>
      <c r="H26" s="87">
        <f>E26*F26</f>
        <v>10000</v>
      </c>
      <c r="I26" s="33"/>
    </row>
    <row r="27" spans="1:13" x14ac:dyDescent="0.2">
      <c r="A27" s="32"/>
      <c r="B27" s="17"/>
      <c r="C27" s="53" t="s">
        <v>91</v>
      </c>
      <c r="D27" s="21" t="s">
        <v>54</v>
      </c>
      <c r="E27" s="54">
        <v>1</v>
      </c>
      <c r="F27" s="81">
        <v>35000</v>
      </c>
      <c r="G27" s="21"/>
      <c r="H27" s="87">
        <f t="shared" ref="H27:H28" si="0">E27*F27</f>
        <v>35000</v>
      </c>
      <c r="I27" s="33"/>
    </row>
    <row r="28" spans="1:13" x14ac:dyDescent="0.2">
      <c r="A28" s="32"/>
      <c r="B28" s="17"/>
      <c r="C28" s="53" t="s">
        <v>57</v>
      </c>
      <c r="D28" s="21" t="s">
        <v>54</v>
      </c>
      <c r="E28" s="54">
        <v>2</v>
      </c>
      <c r="F28" s="18">
        <v>25000</v>
      </c>
      <c r="G28" s="21"/>
      <c r="H28" s="87">
        <f t="shared" si="0"/>
        <v>50000</v>
      </c>
      <c r="I28" s="33"/>
    </row>
    <row r="29" spans="1:13" x14ac:dyDescent="0.2">
      <c r="A29" s="32"/>
      <c r="B29" s="10"/>
      <c r="C29" s="4"/>
      <c r="D29" s="11"/>
      <c r="E29" s="11"/>
      <c r="F29" s="11"/>
      <c r="G29" s="30" t="s">
        <v>58</v>
      </c>
      <c r="H29" s="88">
        <f>SUM(H26:H28)</f>
        <v>95000</v>
      </c>
      <c r="I29" s="33"/>
    </row>
    <row r="30" spans="1:13" x14ac:dyDescent="0.2">
      <c r="A30" s="32"/>
      <c r="B30" s="10"/>
      <c r="C30" s="4"/>
      <c r="D30" s="11"/>
      <c r="E30" s="11"/>
      <c r="F30" s="11"/>
      <c r="G30" s="31"/>
      <c r="H30" s="12"/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59</v>
      </c>
      <c r="H31" s="63">
        <f>H29</f>
        <v>95000</v>
      </c>
      <c r="I31" s="33"/>
    </row>
    <row r="32" spans="1:13" x14ac:dyDescent="0.2">
      <c r="A32" s="32"/>
      <c r="B32" s="10"/>
      <c r="C32" s="4"/>
      <c r="D32" s="11"/>
      <c r="E32" s="69">
        <v>0.56999999999999995</v>
      </c>
      <c r="F32" s="11"/>
      <c r="G32" s="30" t="s">
        <v>60</v>
      </c>
      <c r="H32" s="70">
        <f>H31*E32</f>
        <v>54149.999999999993</v>
      </c>
      <c r="I32" s="33"/>
    </row>
    <row r="33" spans="1:9" x14ac:dyDescent="0.2">
      <c r="A33" s="32"/>
      <c r="B33" s="10"/>
      <c r="C33" s="4"/>
      <c r="D33" s="11"/>
      <c r="E33" s="69">
        <v>0</v>
      </c>
      <c r="F33" s="11"/>
      <c r="G33" s="30" t="s">
        <v>61</v>
      </c>
      <c r="H33" s="63">
        <f>H31*E33</f>
        <v>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H31+H32+H33</f>
        <v>149150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62</v>
      </c>
      <c r="H36" s="71">
        <f>H35/$H$8</f>
        <v>18643.75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63</v>
      </c>
      <c r="H38" s="63">
        <f>H16+H22+H36</f>
        <v>113187.07562500001</v>
      </c>
      <c r="I38" s="33"/>
    </row>
    <row r="39" spans="1:9" x14ac:dyDescent="0.2">
      <c r="A39" s="32"/>
      <c r="B39" s="10"/>
      <c r="C39" s="4"/>
      <c r="D39" s="11"/>
      <c r="E39" s="11"/>
      <c r="F39" s="11"/>
      <c r="G39" s="11"/>
      <c r="H39" s="63"/>
      <c r="I39" s="33"/>
    </row>
    <row r="40" spans="1:9" x14ac:dyDescent="0.2">
      <c r="A40" s="32"/>
      <c r="B40" s="10"/>
      <c r="C40" s="4"/>
      <c r="D40" s="69">
        <v>0</v>
      </c>
      <c r="E40" s="11"/>
      <c r="F40" s="11"/>
      <c r="G40" s="28" t="s">
        <v>64</v>
      </c>
      <c r="H40" s="63">
        <f>D40*H38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28" t="s">
        <v>65</v>
      </c>
      <c r="H41" s="63">
        <f>H38+H40</f>
        <v>113187.07562500001</v>
      </c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66</v>
      </c>
      <c r="H42" s="63">
        <f>D42*H41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H44" s="12"/>
      <c r="I44" s="33"/>
    </row>
    <row r="45" spans="1:9" x14ac:dyDescent="0.2">
      <c r="A45" s="32"/>
      <c r="B45" s="10"/>
      <c r="C45" s="4"/>
      <c r="D45" s="11"/>
      <c r="E45" s="11"/>
      <c r="F45" s="40"/>
      <c r="G45" s="41" t="s">
        <v>67</v>
      </c>
      <c r="H45" s="72">
        <f>H41+H42</f>
        <v>113187.07562500001</v>
      </c>
      <c r="I45" s="33"/>
    </row>
    <row r="46" spans="1:9" x14ac:dyDescent="0.2">
      <c r="A46" s="32"/>
      <c r="B46" s="10"/>
      <c r="C46" s="4"/>
      <c r="D46" s="11"/>
      <c r="E46" s="11"/>
      <c r="F46" s="40"/>
      <c r="G46" s="41" t="s">
        <v>68</v>
      </c>
      <c r="H46" s="72">
        <f>(H16+H22+(H36*H10))</f>
        <v>107738.46656029789</v>
      </c>
      <c r="I46" s="33"/>
    </row>
    <row r="47" spans="1:9" ht="12" thickBot="1" x14ac:dyDescent="0.25">
      <c r="A47" s="37"/>
      <c r="B47" s="38"/>
      <c r="C47" s="38"/>
      <c r="D47" s="38"/>
      <c r="E47" s="38"/>
      <c r="F47" s="38"/>
      <c r="G47" s="38"/>
      <c r="H47" s="38"/>
      <c r="I47" s="39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398D648-34CD-4DFA-83E8-1D7D4F12C292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view="pageBreakPreview" zoomScaleNormal="100" zoomScaleSheetLayoutView="100" workbookViewId="0">
      <selection activeCell="J12" sqref="J12:L2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2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2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2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2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2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2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2" x14ac:dyDescent="0.2">
      <c r="A7" s="202" t="s">
        <v>135</v>
      </c>
      <c r="B7" s="203"/>
      <c r="C7" s="203"/>
      <c r="D7" s="203"/>
      <c r="E7" s="203"/>
      <c r="F7" s="203"/>
      <c r="G7" s="203"/>
      <c r="H7" s="203"/>
      <c r="I7" s="204"/>
    </row>
    <row r="8" spans="1:12" x14ac:dyDescent="0.2">
      <c r="A8" s="35"/>
      <c r="B8" s="4"/>
      <c r="C8" s="4"/>
      <c r="D8" s="5"/>
      <c r="E8" s="23" t="s">
        <v>22</v>
      </c>
      <c r="F8" s="24" t="s">
        <v>136</v>
      </c>
      <c r="G8" s="23" t="s">
        <v>24</v>
      </c>
      <c r="H8" s="25">
        <v>8</v>
      </c>
      <c r="I8" s="36"/>
    </row>
    <row r="9" spans="1:12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2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2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2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2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2" x14ac:dyDescent="0.2">
      <c r="A14" s="34"/>
      <c r="B14" s="7"/>
      <c r="C14" s="111" t="s">
        <v>137</v>
      </c>
      <c r="D14" s="102" t="s">
        <v>36</v>
      </c>
      <c r="E14" s="102">
        <v>1</v>
      </c>
      <c r="F14" s="102">
        <v>0</v>
      </c>
      <c r="G14" s="105">
        <f>2000*F9</f>
        <v>1789640</v>
      </c>
      <c r="H14" s="106">
        <f>E14*(1+F14)*G14</f>
        <v>1789640</v>
      </c>
      <c r="I14" s="36"/>
      <c r="J14" s="122"/>
      <c r="L14" s="91"/>
    </row>
    <row r="15" spans="1:12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1789640</v>
      </c>
      <c r="I15" s="36"/>
    </row>
    <row r="16" spans="1:12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H15/5</f>
        <v>357928</v>
      </c>
      <c r="I16" s="36"/>
      <c r="L16" s="125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  <c r="M18" s="8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3" t="s">
        <v>127</v>
      </c>
      <c r="D20" s="21" t="s">
        <v>128</v>
      </c>
      <c r="E20" s="21">
        <v>1</v>
      </c>
      <c r="F20" s="21">
        <f>0.05*H16</f>
        <v>17896.400000000001</v>
      </c>
      <c r="G20" s="21">
        <v>1</v>
      </c>
      <c r="H20" s="22">
        <f>E20*F20</f>
        <v>17896.400000000001</v>
      </c>
      <c r="I20" s="33"/>
      <c r="K20" s="9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17896.400000000001</v>
      </c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2237.0500000000002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7"/>
      <c r="C26" s="53" t="s">
        <v>117</v>
      </c>
      <c r="D26" s="21" t="s">
        <v>54</v>
      </c>
      <c r="E26" s="54">
        <v>0.25</v>
      </c>
      <c r="F26" s="81">
        <v>40000</v>
      </c>
      <c r="G26" s="7"/>
      <c r="H26" s="87">
        <f>E26*F26</f>
        <v>10000</v>
      </c>
      <c r="I26" s="33"/>
    </row>
    <row r="27" spans="1:13" x14ac:dyDescent="0.2">
      <c r="A27" s="32"/>
      <c r="B27" s="17"/>
      <c r="C27" s="53" t="s">
        <v>91</v>
      </c>
      <c r="D27" s="21" t="s">
        <v>54</v>
      </c>
      <c r="E27" s="54">
        <v>1</v>
      </c>
      <c r="F27" s="81">
        <v>35000</v>
      </c>
      <c r="G27" s="21"/>
      <c r="H27" s="87">
        <f t="shared" ref="H27:H28" si="0">E27*F27</f>
        <v>35000</v>
      </c>
      <c r="I27" s="33"/>
    </row>
    <row r="28" spans="1:13" x14ac:dyDescent="0.2">
      <c r="A28" s="32"/>
      <c r="B28" s="17"/>
      <c r="C28" s="53" t="s">
        <v>57</v>
      </c>
      <c r="D28" s="21" t="s">
        <v>54</v>
      </c>
      <c r="E28" s="54">
        <v>2</v>
      </c>
      <c r="F28" s="18">
        <v>25000</v>
      </c>
      <c r="G28" s="21"/>
      <c r="H28" s="87">
        <f t="shared" si="0"/>
        <v>50000</v>
      </c>
      <c r="I28" s="33"/>
    </row>
    <row r="29" spans="1:13" x14ac:dyDescent="0.2">
      <c r="A29" s="32"/>
      <c r="B29" s="10"/>
      <c r="C29" s="4"/>
      <c r="D29" s="11"/>
      <c r="E29" s="11"/>
      <c r="F29" s="11"/>
      <c r="G29" s="30" t="s">
        <v>58</v>
      </c>
      <c r="H29" s="88">
        <f>SUM(H26:H28)</f>
        <v>95000</v>
      </c>
      <c r="I29" s="33"/>
    </row>
    <row r="30" spans="1:13" x14ac:dyDescent="0.2">
      <c r="A30" s="32"/>
      <c r="B30" s="10"/>
      <c r="C30" s="4"/>
      <c r="D30" s="11"/>
      <c r="E30" s="11"/>
      <c r="F30" s="11"/>
      <c r="G30" s="31"/>
      <c r="H30" s="12"/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59</v>
      </c>
      <c r="H31" s="63">
        <f>H29</f>
        <v>95000</v>
      </c>
      <c r="I31" s="33"/>
    </row>
    <row r="32" spans="1:13" x14ac:dyDescent="0.2">
      <c r="A32" s="32"/>
      <c r="B32" s="10"/>
      <c r="C32" s="4"/>
      <c r="D32" s="11"/>
      <c r="E32" s="69">
        <v>0.56999999999999995</v>
      </c>
      <c r="F32" s="11"/>
      <c r="G32" s="30" t="s">
        <v>60</v>
      </c>
      <c r="H32" s="70">
        <f>H31*E32</f>
        <v>54149.999999999993</v>
      </c>
      <c r="I32" s="33"/>
    </row>
    <row r="33" spans="1:9" x14ac:dyDescent="0.2">
      <c r="A33" s="32"/>
      <c r="B33" s="10"/>
      <c r="C33" s="4"/>
      <c r="D33" s="11"/>
      <c r="E33" s="69">
        <v>0</v>
      </c>
      <c r="F33" s="11"/>
      <c r="G33" s="30" t="s">
        <v>61</v>
      </c>
      <c r="H33" s="63">
        <f>H31*E33</f>
        <v>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H31+H32+H33</f>
        <v>149150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62</v>
      </c>
      <c r="H36" s="71">
        <f>H35/$H$8</f>
        <v>18643.75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63</v>
      </c>
      <c r="H38" s="63">
        <f>H16+H22+H36</f>
        <v>378808.8</v>
      </c>
      <c r="I38" s="33"/>
    </row>
    <row r="39" spans="1:9" x14ac:dyDescent="0.2">
      <c r="A39" s="32"/>
      <c r="B39" s="10"/>
      <c r="C39" s="4"/>
      <c r="D39" s="11"/>
      <c r="E39" s="11"/>
      <c r="F39" s="11"/>
      <c r="G39" s="11"/>
      <c r="H39" s="63"/>
      <c r="I39" s="33"/>
    </row>
    <row r="40" spans="1:9" x14ac:dyDescent="0.2">
      <c r="A40" s="32"/>
      <c r="B40" s="10"/>
      <c r="C40" s="4"/>
      <c r="D40" s="69">
        <v>0</v>
      </c>
      <c r="E40" s="11"/>
      <c r="F40" s="11"/>
      <c r="G40" s="28" t="s">
        <v>64</v>
      </c>
      <c r="H40" s="63">
        <f>D40*H38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28" t="s">
        <v>65</v>
      </c>
      <c r="H41" s="63">
        <f>H38+H40</f>
        <v>378808.8</v>
      </c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66</v>
      </c>
      <c r="H42" s="63">
        <f>D42*H41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H44" s="12"/>
      <c r="I44" s="33"/>
    </row>
    <row r="45" spans="1:9" x14ac:dyDescent="0.2">
      <c r="A45" s="32"/>
      <c r="B45" s="10"/>
      <c r="C45" s="4"/>
      <c r="D45" s="11"/>
      <c r="E45" s="11"/>
      <c r="F45" s="40"/>
      <c r="G45" s="41" t="s">
        <v>67</v>
      </c>
      <c r="H45" s="72">
        <f>H41+H42</f>
        <v>378808.8</v>
      </c>
      <c r="I45" s="33"/>
    </row>
    <row r="46" spans="1:9" x14ac:dyDescent="0.2">
      <c r="A46" s="32"/>
      <c r="B46" s="10"/>
      <c r="C46" s="4"/>
      <c r="D46" s="11"/>
      <c r="E46" s="11"/>
      <c r="F46" s="40"/>
      <c r="G46" s="41" t="s">
        <v>68</v>
      </c>
      <c r="H46" s="72">
        <f>(H16+H22+(H36*H10))</f>
        <v>373360.19093529787</v>
      </c>
      <c r="I46" s="33"/>
    </row>
    <row r="47" spans="1:9" x14ac:dyDescent="0.2">
      <c r="A47" s="37"/>
      <c r="B47" s="38"/>
      <c r="C47" s="38"/>
      <c r="D47" s="38"/>
      <c r="E47" s="38"/>
      <c r="F47" s="38"/>
      <c r="G47" s="38"/>
      <c r="H47" s="38"/>
      <c r="I47" s="39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6BDD66-10C2-43AE-8BFA-8E5E0FA7F0ED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7"/>
  <sheetViews>
    <sheetView view="pageBreakPreview" zoomScaleNormal="100" zoomScaleSheetLayoutView="100" workbookViewId="0">
      <selection activeCell="J10" sqref="J10:L2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138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136</v>
      </c>
      <c r="G8" s="23" t="s">
        <v>24</v>
      </c>
      <c r="H8" s="25">
        <v>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</row>
    <row r="14" spans="1:11" ht="22.5" x14ac:dyDescent="0.2">
      <c r="A14" s="34"/>
      <c r="B14" s="7"/>
      <c r="C14" s="112" t="s">
        <v>139</v>
      </c>
      <c r="D14" s="102" t="s">
        <v>36</v>
      </c>
      <c r="E14" s="102">
        <v>1</v>
      </c>
      <c r="F14" s="102">
        <v>0</v>
      </c>
      <c r="G14" s="105">
        <f>300*$F$9</f>
        <v>268446</v>
      </c>
      <c r="H14" s="106">
        <f>E14*(1+F14)*G14</f>
        <v>268446</v>
      </c>
      <c r="I14" s="36"/>
    </row>
    <row r="15" spans="1:11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268446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</f>
        <v>268446</v>
      </c>
      <c r="I16" s="36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3" t="s">
        <v>127</v>
      </c>
      <c r="D20" s="21" t="s">
        <v>128</v>
      </c>
      <c r="E20" s="21">
        <v>1</v>
      </c>
      <c r="F20" s="21">
        <f>0.05*H16</f>
        <v>13422.300000000001</v>
      </c>
      <c r="G20" s="21"/>
      <c r="H20" s="22">
        <f>E20*F20</f>
        <v>13422.300000000001</v>
      </c>
      <c r="I20" s="33"/>
      <c r="M20" s="8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13422.300000000001</v>
      </c>
      <c r="I21" s="33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1677.7875000000001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  <c r="K23" s="9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  <c r="K24" s="9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7"/>
      <c r="C26" s="53" t="s">
        <v>117</v>
      </c>
      <c r="D26" s="21" t="s">
        <v>54</v>
      </c>
      <c r="E26" s="54">
        <v>0.25</v>
      </c>
      <c r="F26" s="81">
        <v>40000</v>
      </c>
      <c r="G26" s="7"/>
      <c r="H26" s="87">
        <f>E26*F26</f>
        <v>10000</v>
      </c>
      <c r="I26" s="33"/>
    </row>
    <row r="27" spans="1:13" x14ac:dyDescent="0.2">
      <c r="A27" s="32"/>
      <c r="B27" s="17"/>
      <c r="C27" s="53" t="s">
        <v>91</v>
      </c>
      <c r="D27" s="21" t="s">
        <v>54</v>
      </c>
      <c r="E27" s="54">
        <v>1</v>
      </c>
      <c r="F27" s="81">
        <v>35000</v>
      </c>
      <c r="G27" s="21"/>
      <c r="H27" s="87">
        <f t="shared" ref="H27:H28" si="0">E27*F27</f>
        <v>35000</v>
      </c>
      <c r="I27" s="33"/>
    </row>
    <row r="28" spans="1:13" x14ac:dyDescent="0.2">
      <c r="A28" s="32"/>
      <c r="B28" s="17"/>
      <c r="C28" s="53" t="s">
        <v>57</v>
      </c>
      <c r="D28" s="21" t="s">
        <v>54</v>
      </c>
      <c r="E28" s="54">
        <v>2</v>
      </c>
      <c r="F28" s="18">
        <v>25000</v>
      </c>
      <c r="G28" s="21"/>
      <c r="H28" s="87">
        <f t="shared" si="0"/>
        <v>50000</v>
      </c>
      <c r="I28" s="33"/>
    </row>
    <row r="29" spans="1:13" x14ac:dyDescent="0.2">
      <c r="A29" s="32"/>
      <c r="B29" s="10"/>
      <c r="C29" s="4"/>
      <c r="D29" s="11"/>
      <c r="E29" s="11"/>
      <c r="F29" s="11"/>
      <c r="G29" s="30" t="s">
        <v>58</v>
      </c>
      <c r="H29" s="88">
        <f>SUM(H26:H28)</f>
        <v>95000</v>
      </c>
      <c r="I29" s="33"/>
    </row>
    <row r="30" spans="1:13" x14ac:dyDescent="0.2">
      <c r="A30" s="32"/>
      <c r="B30" s="10"/>
      <c r="C30" s="4"/>
      <c r="D30" s="11"/>
      <c r="E30" s="11"/>
      <c r="F30" s="11"/>
      <c r="G30" s="31"/>
      <c r="H30" s="12"/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59</v>
      </c>
      <c r="H31" s="63">
        <f>H29</f>
        <v>95000</v>
      </c>
      <c r="I31" s="33"/>
    </row>
    <row r="32" spans="1:13" x14ac:dyDescent="0.2">
      <c r="A32" s="32"/>
      <c r="B32" s="10"/>
      <c r="C32" s="4"/>
      <c r="D32" s="11"/>
      <c r="E32" s="69">
        <v>0.56999999999999995</v>
      </c>
      <c r="F32" s="11"/>
      <c r="G32" s="30" t="s">
        <v>60</v>
      </c>
      <c r="H32" s="70">
        <f>H31*E32</f>
        <v>54149.999999999993</v>
      </c>
      <c r="I32" s="33"/>
    </row>
    <row r="33" spans="1:9" x14ac:dyDescent="0.2">
      <c r="A33" s="32"/>
      <c r="B33" s="10"/>
      <c r="C33" s="4"/>
      <c r="D33" s="11"/>
      <c r="E33" s="69">
        <v>0</v>
      </c>
      <c r="F33" s="11"/>
      <c r="G33" s="30" t="s">
        <v>61</v>
      </c>
      <c r="H33" s="63">
        <f>H31*E33</f>
        <v>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H31+H32+H33</f>
        <v>149150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62</v>
      </c>
      <c r="H36" s="71">
        <f>H35/$H$8</f>
        <v>18643.75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63</v>
      </c>
      <c r="H38" s="63">
        <f>H16+H22+H36</f>
        <v>288767.53749999998</v>
      </c>
      <c r="I38" s="33"/>
    </row>
    <row r="39" spans="1:9" x14ac:dyDescent="0.2">
      <c r="A39" s="32"/>
      <c r="B39" s="10"/>
      <c r="C39" s="4"/>
      <c r="D39" s="11"/>
      <c r="E39" s="11"/>
      <c r="F39" s="11"/>
      <c r="G39" s="11"/>
      <c r="H39" s="63"/>
      <c r="I39" s="33"/>
    </row>
    <row r="40" spans="1:9" x14ac:dyDescent="0.2">
      <c r="A40" s="32"/>
      <c r="B40" s="10"/>
      <c r="C40" s="4"/>
      <c r="D40" s="69">
        <v>0</v>
      </c>
      <c r="E40" s="11"/>
      <c r="F40" s="11"/>
      <c r="G40" s="28" t="s">
        <v>64</v>
      </c>
      <c r="H40" s="63">
        <f>D40*H38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28" t="s">
        <v>65</v>
      </c>
      <c r="H41" s="63">
        <f>H38+H40</f>
        <v>288767.53749999998</v>
      </c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66</v>
      </c>
      <c r="H42" s="63">
        <f>D42*H41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H44" s="12"/>
      <c r="I44" s="33"/>
    </row>
    <row r="45" spans="1:9" x14ac:dyDescent="0.2">
      <c r="A45" s="32"/>
      <c r="B45" s="10"/>
      <c r="C45" s="4"/>
      <c r="D45" s="11"/>
      <c r="E45" s="11"/>
      <c r="F45" s="40"/>
      <c r="G45" s="41" t="s">
        <v>67</v>
      </c>
      <c r="H45" s="72">
        <f>H41+H42</f>
        <v>288767.53749999998</v>
      </c>
      <c r="I45" s="33"/>
    </row>
    <row r="46" spans="1:9" x14ac:dyDescent="0.2">
      <c r="A46" s="32"/>
      <c r="B46" s="10"/>
      <c r="C46" s="4"/>
      <c r="D46" s="11"/>
      <c r="E46" s="11"/>
      <c r="F46" s="40"/>
      <c r="G46" s="41" t="s">
        <v>68</v>
      </c>
      <c r="H46" s="72">
        <f>(H16+H22+(H36*H10))</f>
        <v>283318.92843529786</v>
      </c>
      <c r="I46" s="33"/>
    </row>
    <row r="47" spans="1:9" x14ac:dyDescent="0.2">
      <c r="A47" s="37"/>
      <c r="B47" s="38"/>
      <c r="C47" s="38"/>
      <c r="D47" s="38"/>
      <c r="E47" s="38"/>
      <c r="F47" s="38"/>
      <c r="G47" s="38"/>
      <c r="H47" s="38"/>
      <c r="I47" s="39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97ABBAB-74FB-4875-A7EB-10A516DAACC0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EAC5-BFDE-40B2-ABCA-5E90983293C2}">
  <dimension ref="A1:M50"/>
  <sheetViews>
    <sheetView view="pageBreakPreview" zoomScaleNormal="100" zoomScaleSheetLayoutView="100" workbookViewId="0">
      <selection activeCell="G49" sqref="G49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140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15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7"/>
      <c r="C14" s="113" t="s">
        <v>141</v>
      </c>
      <c r="D14" s="114" t="s">
        <v>34</v>
      </c>
      <c r="E14" s="115">
        <v>1</v>
      </c>
      <c r="F14" s="115">
        <v>0.05</v>
      </c>
      <c r="G14" s="105">
        <f>123521/3</f>
        <v>41173.666666666664</v>
      </c>
      <c r="H14" s="106">
        <f>E14*(1+F14)*G14</f>
        <v>43232.35</v>
      </c>
      <c r="I14" s="36"/>
      <c r="J14" s="122"/>
    </row>
    <row r="15" spans="1:11" x14ac:dyDescent="0.2">
      <c r="A15" s="34"/>
      <c r="B15" s="7"/>
      <c r="C15" s="53" t="s">
        <v>142</v>
      </c>
      <c r="D15" s="21" t="s">
        <v>143</v>
      </c>
      <c r="E15" s="20">
        <v>1</v>
      </c>
      <c r="F15" s="20"/>
      <c r="G15" s="60">
        <v>2150</v>
      </c>
      <c r="H15" s="173">
        <f>E15*(1+F15)*G15</f>
        <v>2150</v>
      </c>
      <c r="I15" s="36"/>
      <c r="J15" s="122"/>
    </row>
    <row r="16" spans="1:11" x14ac:dyDescent="0.2">
      <c r="A16" s="34"/>
      <c r="B16" s="7"/>
      <c r="C16" s="53"/>
      <c r="D16" s="21"/>
      <c r="E16" s="20"/>
      <c r="F16" s="20"/>
      <c r="G16" s="60"/>
      <c r="H16" s="58"/>
      <c r="I16" s="36"/>
      <c r="J16" s="122"/>
    </row>
    <row r="17" spans="1:13" x14ac:dyDescent="0.2">
      <c r="A17" s="34"/>
      <c r="B17" s="17"/>
      <c r="C17" s="191"/>
      <c r="D17" s="174"/>
      <c r="E17" s="192"/>
      <c r="F17" s="192"/>
      <c r="G17" s="172"/>
      <c r="H17" s="173"/>
      <c r="I17" s="36"/>
      <c r="J17" s="122"/>
    </row>
    <row r="18" spans="1:13" x14ac:dyDescent="0.2">
      <c r="A18" s="34"/>
      <c r="B18" s="13"/>
      <c r="C18" s="14"/>
      <c r="D18" s="26"/>
      <c r="E18" s="26"/>
      <c r="F18" s="26"/>
      <c r="G18" s="29" t="s">
        <v>42</v>
      </c>
      <c r="H18" s="16">
        <f>SUM(H14:H17)</f>
        <v>45382.35</v>
      </c>
      <c r="I18" s="36"/>
    </row>
    <row r="19" spans="1:13" x14ac:dyDescent="0.2">
      <c r="A19" s="34"/>
      <c r="B19" s="13"/>
      <c r="C19" s="14"/>
      <c r="D19" s="26"/>
      <c r="E19" s="26"/>
      <c r="F19" s="26"/>
      <c r="G19" s="29" t="s">
        <v>43</v>
      </c>
      <c r="H19" s="16">
        <f>H18</f>
        <v>45382.35</v>
      </c>
      <c r="I19" s="36"/>
    </row>
    <row r="20" spans="1:13" x14ac:dyDescent="0.2">
      <c r="A20" s="35"/>
      <c r="B20" s="5"/>
      <c r="C20" s="5"/>
      <c r="D20" s="5"/>
      <c r="E20" s="5"/>
      <c r="F20" s="5"/>
      <c r="G20" s="5"/>
      <c r="H20" s="5"/>
      <c r="I20" s="36"/>
    </row>
    <row r="21" spans="1:13" x14ac:dyDescent="0.2">
      <c r="A21" s="32" t="s">
        <v>44</v>
      </c>
      <c r="B21" s="4"/>
      <c r="C21" s="4"/>
      <c r="D21" s="4"/>
      <c r="E21" s="4"/>
      <c r="F21" s="4"/>
      <c r="G21" s="4"/>
      <c r="H21" s="4"/>
      <c r="I21" s="33"/>
      <c r="M21" s="8"/>
    </row>
    <row r="22" spans="1:13" x14ac:dyDescent="0.2">
      <c r="A22" s="34"/>
      <c r="B22" s="7" t="s">
        <v>27</v>
      </c>
      <c r="C22" s="7" t="s">
        <v>28</v>
      </c>
      <c r="D22" s="7" t="s">
        <v>11</v>
      </c>
      <c r="E22" s="7" t="s">
        <v>29</v>
      </c>
      <c r="F22" s="7" t="s">
        <v>31</v>
      </c>
      <c r="G22" s="7" t="s">
        <v>45</v>
      </c>
      <c r="H22" s="7" t="s">
        <v>46</v>
      </c>
      <c r="I22" s="33"/>
    </row>
    <row r="23" spans="1:13" x14ac:dyDescent="0.2">
      <c r="A23" s="34"/>
      <c r="B23" s="17"/>
      <c r="C23" s="53" t="s">
        <v>127</v>
      </c>
      <c r="D23" s="21" t="s">
        <v>128</v>
      </c>
      <c r="E23" s="21">
        <v>1</v>
      </c>
      <c r="F23" s="21">
        <f>0.05*H19</f>
        <v>2269.1174999999998</v>
      </c>
      <c r="G23" s="21"/>
      <c r="H23" s="22">
        <f>E23*F23</f>
        <v>2269.1174999999998</v>
      </c>
      <c r="I23" s="33"/>
      <c r="K23" s="9"/>
    </row>
    <row r="24" spans="1:13" x14ac:dyDescent="0.2">
      <c r="A24" s="34"/>
      <c r="B24" s="13"/>
      <c r="C24" s="14"/>
      <c r="D24" s="15"/>
      <c r="E24" s="15"/>
      <c r="F24" s="15"/>
      <c r="G24" s="30" t="s">
        <v>49</v>
      </c>
      <c r="H24" s="27">
        <f>SUM(H23)</f>
        <v>2269.1174999999998</v>
      </c>
      <c r="I24" s="33"/>
      <c r="K24" s="9"/>
    </row>
    <row r="25" spans="1:13" x14ac:dyDescent="0.2">
      <c r="A25" s="34"/>
      <c r="B25" s="13"/>
      <c r="C25" s="14"/>
      <c r="D25" s="15"/>
      <c r="E25" s="15"/>
      <c r="F25" s="15"/>
      <c r="G25" s="30" t="s">
        <v>50</v>
      </c>
      <c r="H25" s="27">
        <f>H24/$H$8</f>
        <v>2269.1174999999998</v>
      </c>
      <c r="I25" s="33"/>
      <c r="K25" s="9"/>
    </row>
    <row r="26" spans="1:13" x14ac:dyDescent="0.2">
      <c r="A26" s="32"/>
      <c r="B26" s="10"/>
      <c r="C26" s="4"/>
      <c r="D26" s="11"/>
      <c r="E26" s="11"/>
      <c r="F26" s="11"/>
      <c r="G26" s="11"/>
      <c r="H26" s="12"/>
      <c r="I26" s="33"/>
      <c r="K26" s="9"/>
    </row>
    <row r="27" spans="1:13" x14ac:dyDescent="0.2">
      <c r="A27" s="32" t="s">
        <v>51</v>
      </c>
      <c r="B27" s="10"/>
      <c r="C27" s="4"/>
      <c r="D27" s="11"/>
      <c r="E27" s="11"/>
      <c r="F27" s="11"/>
      <c r="G27" s="11"/>
      <c r="H27" s="12"/>
      <c r="I27" s="33"/>
      <c r="K27" s="9"/>
    </row>
    <row r="28" spans="1:13" x14ac:dyDescent="0.2">
      <c r="A28" s="32"/>
      <c r="B28" s="7" t="s">
        <v>27</v>
      </c>
      <c r="C28" s="7" t="s">
        <v>28</v>
      </c>
      <c r="D28" s="7" t="s">
        <v>11</v>
      </c>
      <c r="E28" s="7" t="s">
        <v>29</v>
      </c>
      <c r="F28" s="7" t="s">
        <v>52</v>
      </c>
      <c r="G28" s="7"/>
      <c r="H28" s="7" t="s">
        <v>46</v>
      </c>
      <c r="I28" s="33"/>
    </row>
    <row r="29" spans="1:13" x14ac:dyDescent="0.2">
      <c r="A29" s="32"/>
      <c r="B29" s="7"/>
      <c r="C29" s="53" t="s">
        <v>117</v>
      </c>
      <c r="D29" s="21" t="s">
        <v>54</v>
      </c>
      <c r="E29" s="54">
        <v>0.1</v>
      </c>
      <c r="F29" s="81">
        <v>40000</v>
      </c>
      <c r="G29" s="7"/>
      <c r="H29" s="87">
        <f>E29*F29</f>
        <v>4000</v>
      </c>
      <c r="I29" s="33"/>
    </row>
    <row r="30" spans="1:13" x14ac:dyDescent="0.2">
      <c r="A30" s="32"/>
      <c r="B30" s="17"/>
      <c r="C30" s="53" t="s">
        <v>91</v>
      </c>
      <c r="D30" s="21" t="s">
        <v>54</v>
      </c>
      <c r="E30" s="54">
        <v>0.2</v>
      </c>
      <c r="F30" s="81">
        <v>35000</v>
      </c>
      <c r="G30" s="21"/>
      <c r="H30" s="87">
        <f t="shared" ref="H30:H31" si="0">E30*F30</f>
        <v>7000</v>
      </c>
      <c r="I30" s="33"/>
    </row>
    <row r="31" spans="1:13" x14ac:dyDescent="0.2">
      <c r="A31" s="32"/>
      <c r="B31" s="17"/>
      <c r="C31" s="53" t="s">
        <v>57</v>
      </c>
      <c r="D31" s="21" t="s">
        <v>54</v>
      </c>
      <c r="E31" s="54">
        <v>0.2</v>
      </c>
      <c r="F31" s="18">
        <v>25000</v>
      </c>
      <c r="G31" s="21"/>
      <c r="H31" s="87">
        <f t="shared" si="0"/>
        <v>5000</v>
      </c>
      <c r="I31" s="33"/>
    </row>
    <row r="32" spans="1:13" x14ac:dyDescent="0.2">
      <c r="A32" s="32"/>
      <c r="B32" s="10"/>
      <c r="C32" s="4"/>
      <c r="D32" s="11"/>
      <c r="E32" s="11"/>
      <c r="F32" s="11"/>
      <c r="G32" s="30" t="s">
        <v>58</v>
      </c>
      <c r="H32" s="88">
        <f>SUM(H29:H31)</f>
        <v>16000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1"/>
      <c r="H33" s="12"/>
      <c r="I33" s="33"/>
    </row>
    <row r="34" spans="1:9" x14ac:dyDescent="0.2">
      <c r="A34" s="32"/>
      <c r="B34" s="10"/>
      <c r="C34" s="4"/>
      <c r="D34" s="11"/>
      <c r="E34" s="11"/>
      <c r="F34" s="11"/>
      <c r="G34" s="30" t="s">
        <v>59</v>
      </c>
      <c r="H34" s="63">
        <f>H32</f>
        <v>16000</v>
      </c>
      <c r="I34" s="33"/>
    </row>
    <row r="35" spans="1:9" x14ac:dyDescent="0.2">
      <c r="A35" s="32"/>
      <c r="B35" s="10"/>
      <c r="C35" s="4"/>
      <c r="D35" s="11"/>
      <c r="E35" s="69">
        <v>0.56999999999999995</v>
      </c>
      <c r="F35" s="11"/>
      <c r="G35" s="30" t="s">
        <v>60</v>
      </c>
      <c r="H35" s="70">
        <f>H34*E35</f>
        <v>9120</v>
      </c>
      <c r="I35" s="33"/>
    </row>
    <row r="36" spans="1:9" x14ac:dyDescent="0.2">
      <c r="A36" s="32"/>
      <c r="B36" s="10"/>
      <c r="C36" s="4"/>
      <c r="D36" s="11"/>
      <c r="E36" s="69">
        <v>0</v>
      </c>
      <c r="F36" s="11"/>
      <c r="G36" s="30" t="s">
        <v>61</v>
      </c>
      <c r="H36" s="63">
        <f>H34*E36</f>
        <v>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58</v>
      </c>
      <c r="H38" s="63">
        <f>H34+H35+H36</f>
        <v>25120</v>
      </c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62</v>
      </c>
      <c r="H39" s="71">
        <f>H38/$H$8</f>
        <v>25120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63</v>
      </c>
      <c r="H41" s="63">
        <f>H19+H25+H39</f>
        <v>72771.467499999999</v>
      </c>
      <c r="I41" s="33"/>
    </row>
    <row r="42" spans="1:9" x14ac:dyDescent="0.2">
      <c r="A42" s="32"/>
      <c r="B42" s="10"/>
      <c r="C42" s="4"/>
      <c r="D42" s="11"/>
      <c r="E42" s="11"/>
      <c r="F42" s="11"/>
      <c r="G42" s="11"/>
      <c r="H42" s="63"/>
      <c r="I42" s="33"/>
    </row>
    <row r="43" spans="1:9" x14ac:dyDescent="0.2">
      <c r="A43" s="32"/>
      <c r="B43" s="10"/>
      <c r="C43" s="4"/>
      <c r="D43" s="69">
        <v>0</v>
      </c>
      <c r="E43" s="11"/>
      <c r="F43" s="11"/>
      <c r="G43" s="28" t="s">
        <v>64</v>
      </c>
      <c r="H43" s="63">
        <f>D43*H41</f>
        <v>0</v>
      </c>
      <c r="I43" s="33"/>
    </row>
    <row r="44" spans="1:9" x14ac:dyDescent="0.2">
      <c r="A44" s="32"/>
      <c r="B44" s="10"/>
      <c r="C44" s="4"/>
      <c r="D44" s="11"/>
      <c r="E44" s="11"/>
      <c r="F44" s="11"/>
      <c r="G44" s="28" t="s">
        <v>65</v>
      </c>
      <c r="H44" s="63">
        <f>H41+H43</f>
        <v>72771.467499999999</v>
      </c>
      <c r="I44" s="33"/>
    </row>
    <row r="45" spans="1:9" x14ac:dyDescent="0.2">
      <c r="A45" s="32"/>
      <c r="B45" s="10"/>
      <c r="C45" s="4"/>
      <c r="D45" s="69">
        <v>0</v>
      </c>
      <c r="E45" s="11"/>
      <c r="F45" s="11"/>
      <c r="G45" s="28" t="s">
        <v>66</v>
      </c>
      <c r="H45" s="63">
        <f>D45*H44</f>
        <v>0</v>
      </c>
      <c r="I45" s="33"/>
    </row>
    <row r="46" spans="1:9" x14ac:dyDescent="0.2">
      <c r="A46" s="32"/>
      <c r="B46" s="10"/>
      <c r="C46" s="4"/>
      <c r="D46" s="11"/>
      <c r="E46" s="11"/>
      <c r="F46" s="11"/>
      <c r="G46" s="11"/>
      <c r="H46" s="12"/>
      <c r="I46" s="33"/>
    </row>
    <row r="47" spans="1:9" x14ac:dyDescent="0.2">
      <c r="A47" s="32"/>
      <c r="B47" s="10"/>
      <c r="C47" s="4"/>
      <c r="D47" s="11"/>
      <c r="E47" s="11"/>
      <c r="F47" s="11"/>
      <c r="H47" s="12"/>
      <c r="I47" s="33"/>
    </row>
    <row r="48" spans="1:9" x14ac:dyDescent="0.2">
      <c r="A48" s="32"/>
      <c r="B48" s="10"/>
      <c r="C48" s="4"/>
      <c r="D48" s="11"/>
      <c r="E48" s="11"/>
      <c r="F48" s="40"/>
      <c r="G48" s="41" t="s">
        <v>67</v>
      </c>
      <c r="H48" s="72">
        <f>H44+H45</f>
        <v>72771.467499999999</v>
      </c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68</v>
      </c>
      <c r="H49" s="72">
        <f>(H19+H25+(H39*H10))</f>
        <v>65430.183707559256</v>
      </c>
      <c r="I49" s="33"/>
    </row>
    <row r="50" spans="1:9" ht="12" thickBot="1" x14ac:dyDescent="0.25">
      <c r="A50" s="37"/>
      <c r="B50" s="38"/>
      <c r="C50" s="38"/>
      <c r="D50" s="38"/>
      <c r="E50" s="38"/>
      <c r="F50" s="38"/>
      <c r="G50" s="38"/>
      <c r="H50" s="38"/>
      <c r="I50" s="39"/>
    </row>
  </sheetData>
  <mergeCells count="1">
    <mergeCell ref="A7:I7"/>
  </mergeCells>
  <pageMargins left="0.7" right="0.7" top="0.75" bottom="0.75" header="0.3" footer="0.3"/>
  <pageSetup scale="9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E99813D-D7DA-43FC-96DB-C0AFB6D1E55B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0"/>
  <sheetViews>
    <sheetView view="pageBreakPreview" zoomScaleNormal="100" zoomScaleSheetLayoutView="100" workbookViewId="0">
      <selection activeCell="J10" sqref="J10:K2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144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15</v>
      </c>
      <c r="G8" s="23" t="s">
        <v>24</v>
      </c>
      <c r="H8" s="25">
        <v>40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7"/>
      <c r="C14" s="113" t="s">
        <v>145</v>
      </c>
      <c r="D14" s="114" t="s">
        <v>143</v>
      </c>
      <c r="E14" s="115">
        <v>1</v>
      </c>
      <c r="F14" s="115">
        <v>0.05</v>
      </c>
      <c r="G14" s="105">
        <v>1150</v>
      </c>
      <c r="H14" s="106">
        <f>E14*(1+F14)*G14</f>
        <v>1207.5</v>
      </c>
      <c r="I14" s="36"/>
      <c r="J14" s="122"/>
    </row>
    <row r="15" spans="1:11" x14ac:dyDescent="0.2">
      <c r="A15" s="34"/>
      <c r="B15" s="7"/>
      <c r="C15" s="53" t="s">
        <v>146</v>
      </c>
      <c r="D15" s="21" t="s">
        <v>143</v>
      </c>
      <c r="E15" s="20">
        <v>1</v>
      </c>
      <c r="F15" s="20">
        <v>0.05</v>
      </c>
      <c r="G15" s="60">
        <v>1150</v>
      </c>
      <c r="H15" s="58">
        <f t="shared" ref="H15:H17" si="0">E15*(1+F15)*G15</f>
        <v>1207.5</v>
      </c>
      <c r="I15" s="36"/>
      <c r="J15" s="122"/>
    </row>
    <row r="16" spans="1:11" x14ac:dyDescent="0.2">
      <c r="A16" s="34"/>
      <c r="B16" s="7"/>
      <c r="C16" s="53" t="s">
        <v>147</v>
      </c>
      <c r="D16" s="21" t="s">
        <v>107</v>
      </c>
      <c r="E16" s="20">
        <v>0.7</v>
      </c>
      <c r="F16" s="20">
        <v>0.05</v>
      </c>
      <c r="G16" s="60">
        <v>340</v>
      </c>
      <c r="H16" s="58">
        <f>E16*(1+F16)*G16</f>
        <v>249.9</v>
      </c>
      <c r="I16" s="36"/>
      <c r="J16" s="122"/>
    </row>
    <row r="17" spans="1:13" x14ac:dyDescent="0.2">
      <c r="A17" s="34"/>
      <c r="B17" s="17"/>
      <c r="C17" s="113" t="s">
        <v>148</v>
      </c>
      <c r="D17" s="114" t="s">
        <v>149</v>
      </c>
      <c r="E17" s="115">
        <v>0.35</v>
      </c>
      <c r="F17" s="115">
        <v>0.05</v>
      </c>
      <c r="G17" s="105">
        <v>29500</v>
      </c>
      <c r="H17" s="106">
        <f t="shared" si="0"/>
        <v>10841.25</v>
      </c>
      <c r="I17" s="36"/>
      <c r="J17" s="122"/>
    </row>
    <row r="18" spans="1:13" x14ac:dyDescent="0.2">
      <c r="A18" s="34"/>
      <c r="B18" s="13"/>
      <c r="C18" s="14"/>
      <c r="D18" s="26"/>
      <c r="E18" s="26"/>
      <c r="F18" s="26"/>
      <c r="G18" s="29" t="s">
        <v>42</v>
      </c>
      <c r="H18" s="16">
        <f>SUM(H14:H17)</f>
        <v>13506.15</v>
      </c>
      <c r="I18" s="36"/>
    </row>
    <row r="19" spans="1:13" x14ac:dyDescent="0.2">
      <c r="A19" s="34"/>
      <c r="B19" s="13"/>
      <c r="C19" s="14"/>
      <c r="D19" s="26"/>
      <c r="E19" s="26"/>
      <c r="F19" s="26"/>
      <c r="G19" s="29" t="s">
        <v>43</v>
      </c>
      <c r="H19" s="16">
        <f>H18</f>
        <v>13506.15</v>
      </c>
      <c r="I19" s="36"/>
    </row>
    <row r="20" spans="1:13" x14ac:dyDescent="0.2">
      <c r="A20" s="35"/>
      <c r="B20" s="5"/>
      <c r="C20" s="5"/>
      <c r="D20" s="5"/>
      <c r="E20" s="5"/>
      <c r="F20" s="5"/>
      <c r="G20" s="5"/>
      <c r="H20" s="5"/>
      <c r="I20" s="36"/>
    </row>
    <row r="21" spans="1:13" x14ac:dyDescent="0.2">
      <c r="A21" s="32" t="s">
        <v>44</v>
      </c>
      <c r="B21" s="4"/>
      <c r="C21" s="4"/>
      <c r="D21" s="4"/>
      <c r="E21" s="4"/>
      <c r="F21" s="4"/>
      <c r="G21" s="4"/>
      <c r="H21" s="4"/>
      <c r="I21" s="33"/>
      <c r="M21" s="8"/>
    </row>
    <row r="22" spans="1:13" x14ac:dyDescent="0.2">
      <c r="A22" s="34"/>
      <c r="B22" s="7" t="s">
        <v>27</v>
      </c>
      <c r="C22" s="7" t="s">
        <v>28</v>
      </c>
      <c r="D22" s="7" t="s">
        <v>11</v>
      </c>
      <c r="E22" s="7" t="s">
        <v>29</v>
      </c>
      <c r="F22" s="7" t="s">
        <v>31</v>
      </c>
      <c r="G22" s="7" t="s">
        <v>45</v>
      </c>
      <c r="H22" s="7" t="s">
        <v>46</v>
      </c>
      <c r="I22" s="33"/>
    </row>
    <row r="23" spans="1:13" x14ac:dyDescent="0.2">
      <c r="A23" s="34"/>
      <c r="B23" s="17"/>
      <c r="C23" s="53" t="s">
        <v>127</v>
      </c>
      <c r="D23" s="21" t="s">
        <v>128</v>
      </c>
      <c r="E23" s="21">
        <v>1</v>
      </c>
      <c r="F23" s="21">
        <f>0.05*H19</f>
        <v>675.3075</v>
      </c>
      <c r="G23" s="21"/>
      <c r="H23" s="22">
        <f>E23*F23</f>
        <v>675.3075</v>
      </c>
      <c r="I23" s="33"/>
      <c r="K23" s="9"/>
    </row>
    <row r="24" spans="1:13" x14ac:dyDescent="0.2">
      <c r="A24" s="34"/>
      <c r="B24" s="13"/>
      <c r="C24" s="14"/>
      <c r="D24" s="15"/>
      <c r="E24" s="15"/>
      <c r="F24" s="15"/>
      <c r="G24" s="30" t="s">
        <v>49</v>
      </c>
      <c r="H24" s="27">
        <f>SUM(H23)</f>
        <v>675.3075</v>
      </c>
      <c r="I24" s="33"/>
      <c r="K24" s="9"/>
    </row>
    <row r="25" spans="1:13" x14ac:dyDescent="0.2">
      <c r="A25" s="34"/>
      <c r="B25" s="13"/>
      <c r="C25" s="14"/>
      <c r="D25" s="15"/>
      <c r="E25" s="15"/>
      <c r="F25" s="15"/>
      <c r="G25" s="30" t="s">
        <v>50</v>
      </c>
      <c r="H25" s="27">
        <f>H24/$H$8</f>
        <v>16.882687499999999</v>
      </c>
      <c r="I25" s="33"/>
      <c r="K25" s="9"/>
    </row>
    <row r="26" spans="1:13" x14ac:dyDescent="0.2">
      <c r="A26" s="32"/>
      <c r="B26" s="10"/>
      <c r="C26" s="4"/>
      <c r="D26" s="11"/>
      <c r="E26" s="11"/>
      <c r="F26" s="11"/>
      <c r="G26" s="11"/>
      <c r="H26" s="12"/>
      <c r="I26" s="33"/>
      <c r="K26" s="9"/>
    </row>
    <row r="27" spans="1:13" x14ac:dyDescent="0.2">
      <c r="A27" s="32" t="s">
        <v>51</v>
      </c>
      <c r="B27" s="10"/>
      <c r="C27" s="4"/>
      <c r="D27" s="11"/>
      <c r="E27" s="11"/>
      <c r="F27" s="11"/>
      <c r="G27" s="11"/>
      <c r="H27" s="12"/>
      <c r="I27" s="33"/>
      <c r="K27" s="9"/>
    </row>
    <row r="28" spans="1:13" x14ac:dyDescent="0.2">
      <c r="A28" s="32"/>
      <c r="B28" s="7" t="s">
        <v>27</v>
      </c>
      <c r="C28" s="7" t="s">
        <v>28</v>
      </c>
      <c r="D28" s="7" t="s">
        <v>11</v>
      </c>
      <c r="E28" s="7" t="s">
        <v>29</v>
      </c>
      <c r="F28" s="7" t="s">
        <v>52</v>
      </c>
      <c r="G28" s="7"/>
      <c r="H28" s="7" t="s">
        <v>46</v>
      </c>
      <c r="I28" s="33"/>
    </row>
    <row r="29" spans="1:13" x14ac:dyDescent="0.2">
      <c r="A29" s="32"/>
      <c r="B29" s="7"/>
      <c r="C29" s="53" t="s">
        <v>117</v>
      </c>
      <c r="D29" s="21" t="s">
        <v>54</v>
      </c>
      <c r="E29" s="54">
        <v>0.25</v>
      </c>
      <c r="F29" s="81">
        <v>40000</v>
      </c>
      <c r="G29" s="7"/>
      <c r="H29" s="87">
        <f>E29*F29</f>
        <v>10000</v>
      </c>
      <c r="I29" s="33"/>
    </row>
    <row r="30" spans="1:13" x14ac:dyDescent="0.2">
      <c r="A30" s="32"/>
      <c r="B30" s="17"/>
      <c r="C30" s="53" t="s">
        <v>91</v>
      </c>
      <c r="D30" s="21" t="s">
        <v>54</v>
      </c>
      <c r="E30" s="54">
        <v>1</v>
      </c>
      <c r="F30" s="81">
        <v>35000</v>
      </c>
      <c r="G30" s="21"/>
      <c r="H30" s="87">
        <f t="shared" ref="H30:H31" si="1">E30*F30</f>
        <v>35000</v>
      </c>
      <c r="I30" s="33"/>
    </row>
    <row r="31" spans="1:13" x14ac:dyDescent="0.2">
      <c r="A31" s="32"/>
      <c r="B31" s="17"/>
      <c r="C31" s="53" t="s">
        <v>57</v>
      </c>
      <c r="D31" s="21" t="s">
        <v>54</v>
      </c>
      <c r="E31" s="54">
        <v>2</v>
      </c>
      <c r="F31" s="18">
        <v>25000</v>
      </c>
      <c r="G31" s="21"/>
      <c r="H31" s="87">
        <f t="shared" si="1"/>
        <v>50000</v>
      </c>
      <c r="I31" s="33"/>
    </row>
    <row r="32" spans="1:13" x14ac:dyDescent="0.2">
      <c r="A32" s="32"/>
      <c r="B32" s="10"/>
      <c r="C32" s="4"/>
      <c r="D32" s="11"/>
      <c r="E32" s="11"/>
      <c r="F32" s="11"/>
      <c r="G32" s="30" t="s">
        <v>58</v>
      </c>
      <c r="H32" s="88">
        <f>SUM(H29:H31)</f>
        <v>95000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1"/>
      <c r="H33" s="12"/>
      <c r="I33" s="33"/>
    </row>
    <row r="34" spans="1:9" x14ac:dyDescent="0.2">
      <c r="A34" s="32"/>
      <c r="B34" s="10"/>
      <c r="C34" s="4"/>
      <c r="D34" s="11"/>
      <c r="E34" s="11"/>
      <c r="F34" s="11"/>
      <c r="G34" s="30" t="s">
        <v>59</v>
      </c>
      <c r="H34" s="63">
        <f>H32</f>
        <v>95000</v>
      </c>
      <c r="I34" s="33"/>
    </row>
    <row r="35" spans="1:9" x14ac:dyDescent="0.2">
      <c r="A35" s="32"/>
      <c r="B35" s="10"/>
      <c r="C35" s="4"/>
      <c r="D35" s="11"/>
      <c r="E35" s="69">
        <v>0.56999999999999995</v>
      </c>
      <c r="F35" s="11"/>
      <c r="G35" s="30" t="s">
        <v>60</v>
      </c>
      <c r="H35" s="70">
        <f>H34*E35</f>
        <v>54149.999999999993</v>
      </c>
      <c r="I35" s="33"/>
    </row>
    <row r="36" spans="1:9" x14ac:dyDescent="0.2">
      <c r="A36" s="32"/>
      <c r="B36" s="10"/>
      <c r="C36" s="4"/>
      <c r="D36" s="11"/>
      <c r="E36" s="69">
        <v>0</v>
      </c>
      <c r="F36" s="11"/>
      <c r="G36" s="30" t="s">
        <v>61</v>
      </c>
      <c r="H36" s="63">
        <f>H34*E36</f>
        <v>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58</v>
      </c>
      <c r="H38" s="63">
        <f>H34+H35+H36</f>
        <v>149150</v>
      </c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62</v>
      </c>
      <c r="H39" s="71">
        <f>H38/$H$8</f>
        <v>3728.75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63</v>
      </c>
      <c r="H41" s="63">
        <f>H19+H25+H39</f>
        <v>17251.782687499999</v>
      </c>
      <c r="I41" s="33"/>
    </row>
    <row r="42" spans="1:9" x14ac:dyDescent="0.2">
      <c r="A42" s="32"/>
      <c r="B42" s="10"/>
      <c r="C42" s="4"/>
      <c r="D42" s="11"/>
      <c r="E42" s="11"/>
      <c r="F42" s="11"/>
      <c r="G42" s="11"/>
      <c r="H42" s="63"/>
      <c r="I42" s="33"/>
    </row>
    <row r="43" spans="1:9" x14ac:dyDescent="0.2">
      <c r="A43" s="32"/>
      <c r="B43" s="10"/>
      <c r="C43" s="4"/>
      <c r="D43" s="69">
        <v>0</v>
      </c>
      <c r="E43" s="11"/>
      <c r="F43" s="11"/>
      <c r="G43" s="28" t="s">
        <v>64</v>
      </c>
      <c r="H43" s="63">
        <f>D43*H41</f>
        <v>0</v>
      </c>
      <c r="I43" s="33"/>
    </row>
    <row r="44" spans="1:9" x14ac:dyDescent="0.2">
      <c r="A44" s="32"/>
      <c r="B44" s="10"/>
      <c r="C44" s="4"/>
      <c r="D44" s="11"/>
      <c r="E44" s="11"/>
      <c r="F44" s="11"/>
      <c r="G44" s="28" t="s">
        <v>65</v>
      </c>
      <c r="H44" s="63">
        <f>H41+H43</f>
        <v>17251.782687499999</v>
      </c>
      <c r="I44" s="33"/>
    </row>
    <row r="45" spans="1:9" x14ac:dyDescent="0.2">
      <c r="A45" s="32"/>
      <c r="B45" s="10"/>
      <c r="C45" s="4"/>
      <c r="D45" s="69">
        <v>0</v>
      </c>
      <c r="E45" s="11"/>
      <c r="F45" s="11"/>
      <c r="G45" s="28" t="s">
        <v>66</v>
      </c>
      <c r="H45" s="63">
        <f>D45*H44</f>
        <v>0</v>
      </c>
      <c r="I45" s="33"/>
    </row>
    <row r="46" spans="1:9" x14ac:dyDescent="0.2">
      <c r="A46" s="32"/>
      <c r="B46" s="10"/>
      <c r="C46" s="4"/>
      <c r="D46" s="11"/>
      <c r="E46" s="11"/>
      <c r="F46" s="11"/>
      <c r="G46" s="11"/>
      <c r="H46" s="12"/>
      <c r="I46" s="33"/>
    </row>
    <row r="47" spans="1:9" x14ac:dyDescent="0.2">
      <c r="A47" s="32"/>
      <c r="B47" s="10"/>
      <c r="C47" s="4"/>
      <c r="D47" s="11"/>
      <c r="E47" s="11"/>
      <c r="F47" s="11"/>
      <c r="H47" s="12"/>
      <c r="I47" s="33"/>
    </row>
    <row r="48" spans="1:9" x14ac:dyDescent="0.2">
      <c r="A48" s="32"/>
      <c r="B48" s="10"/>
      <c r="C48" s="4"/>
      <c r="D48" s="11"/>
      <c r="E48" s="11"/>
      <c r="F48" s="40"/>
      <c r="G48" s="41" t="s">
        <v>67</v>
      </c>
      <c r="H48" s="72">
        <f>H44+H45</f>
        <v>17251.782687499999</v>
      </c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68</v>
      </c>
      <c r="H49" s="72">
        <f>(H19+H25+(H39*H10))</f>
        <v>16162.060874559576</v>
      </c>
      <c r="I49" s="33"/>
    </row>
    <row r="50" spans="1:9" x14ac:dyDescent="0.2">
      <c r="A50" s="37"/>
      <c r="B50" s="38"/>
      <c r="C50" s="38"/>
      <c r="D50" s="38"/>
      <c r="E50" s="38"/>
      <c r="F50" s="38"/>
      <c r="G50" s="38"/>
      <c r="H50" s="38"/>
      <c r="I50" s="39"/>
    </row>
  </sheetData>
  <mergeCells count="1">
    <mergeCell ref="A7:I7"/>
  </mergeCells>
  <pageMargins left="0.7" right="0.7" top="0.75" bottom="0.75" header="0.3" footer="0.3"/>
  <pageSetup scale="9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B62C1B-3572-488E-997D-CBB335022C19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52"/>
  <sheetViews>
    <sheetView view="pageBreakPreview" zoomScaleNormal="100" zoomScaleSheetLayoutView="100" workbookViewId="0">
      <selection activeCell="J11" sqref="J11:L30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150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15</v>
      </c>
      <c r="G8" s="23" t="s">
        <v>24</v>
      </c>
      <c r="H8" s="25">
        <v>40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7"/>
      <c r="C14" s="53" t="s">
        <v>145</v>
      </c>
      <c r="D14" s="21" t="s">
        <v>143</v>
      </c>
      <c r="E14" s="20">
        <v>1</v>
      </c>
      <c r="F14" s="20">
        <v>0.05</v>
      </c>
      <c r="G14" s="60">
        <v>1150</v>
      </c>
      <c r="H14" s="58">
        <f>E14*(1+F14)*G14</f>
        <v>1207.5</v>
      </c>
      <c r="I14" s="36"/>
      <c r="J14" s="122"/>
    </row>
    <row r="15" spans="1:11" x14ac:dyDescent="0.2">
      <c r="A15" s="34"/>
      <c r="B15" s="7"/>
      <c r="C15" s="53" t="s">
        <v>146</v>
      </c>
      <c r="D15" s="21" t="s">
        <v>143</v>
      </c>
      <c r="E15" s="20">
        <v>1</v>
      </c>
      <c r="F15" s="20">
        <v>0.05</v>
      </c>
      <c r="G15" s="60">
        <v>1150</v>
      </c>
      <c r="H15" s="58">
        <f t="shared" ref="H15:H17" si="0">E15*(1+F15)*G15</f>
        <v>1207.5</v>
      </c>
      <c r="I15" s="36"/>
      <c r="J15" s="122"/>
    </row>
    <row r="16" spans="1:11" x14ac:dyDescent="0.2">
      <c r="A16" s="34"/>
      <c r="B16" s="7"/>
      <c r="C16" s="113" t="s">
        <v>151</v>
      </c>
      <c r="D16" s="102" t="s">
        <v>34</v>
      </c>
      <c r="E16" s="115">
        <v>1.1666000000000001</v>
      </c>
      <c r="F16" s="115">
        <v>0.05</v>
      </c>
      <c r="G16" s="105">
        <v>6590</v>
      </c>
      <c r="H16" s="106">
        <f>E16*(1+F16)*G16</f>
        <v>8072.2887000000001</v>
      </c>
      <c r="I16" s="36"/>
      <c r="J16" s="122"/>
    </row>
    <row r="17" spans="1:13" x14ac:dyDescent="0.2">
      <c r="A17" s="34"/>
      <c r="B17" s="17"/>
      <c r="C17" s="53" t="s">
        <v>152</v>
      </c>
      <c r="D17" s="20" t="s">
        <v>107</v>
      </c>
      <c r="E17" s="20">
        <v>0.33300000000000002</v>
      </c>
      <c r="F17" s="20">
        <v>0</v>
      </c>
      <c r="G17" s="60">
        <v>2500</v>
      </c>
      <c r="H17" s="58">
        <f t="shared" si="0"/>
        <v>832.5</v>
      </c>
      <c r="I17" s="36"/>
    </row>
    <row r="18" spans="1:13" x14ac:dyDescent="0.2">
      <c r="A18" s="34"/>
      <c r="B18" s="13"/>
      <c r="C18" s="14"/>
      <c r="D18" s="26"/>
      <c r="E18" s="26"/>
      <c r="F18" s="26"/>
      <c r="G18" s="29" t="s">
        <v>42</v>
      </c>
      <c r="H18" s="16">
        <f>SUM(H14:H17)</f>
        <v>11319.788700000001</v>
      </c>
      <c r="I18" s="36"/>
    </row>
    <row r="19" spans="1:13" x14ac:dyDescent="0.2">
      <c r="A19" s="34"/>
      <c r="B19" s="13"/>
      <c r="C19" s="14"/>
      <c r="D19" s="26"/>
      <c r="E19" s="26"/>
      <c r="F19" s="26"/>
      <c r="G19" s="29" t="s">
        <v>43</v>
      </c>
      <c r="H19" s="16">
        <f>H18</f>
        <v>11319.788700000001</v>
      </c>
      <c r="I19" s="36"/>
    </row>
    <row r="20" spans="1:13" x14ac:dyDescent="0.2">
      <c r="A20" s="35"/>
      <c r="B20" s="5"/>
      <c r="C20" s="5"/>
      <c r="D20" s="5"/>
      <c r="E20" s="5"/>
      <c r="F20" s="5"/>
      <c r="G20" s="5"/>
      <c r="H20" s="5"/>
      <c r="I20" s="36"/>
    </row>
    <row r="21" spans="1:13" x14ac:dyDescent="0.2">
      <c r="A21" s="32" t="s">
        <v>44</v>
      </c>
      <c r="B21" s="4"/>
      <c r="C21" s="4"/>
      <c r="D21" s="4"/>
      <c r="E21" s="4"/>
      <c r="F21" s="4"/>
      <c r="G21" s="4"/>
      <c r="H21" s="4"/>
      <c r="I21" s="33"/>
      <c r="M21" s="8"/>
    </row>
    <row r="22" spans="1:13" x14ac:dyDescent="0.2">
      <c r="A22" s="34"/>
      <c r="B22" s="7" t="s">
        <v>27</v>
      </c>
      <c r="C22" s="7" t="s">
        <v>28</v>
      </c>
      <c r="D22" s="7" t="s">
        <v>11</v>
      </c>
      <c r="E22" s="7" t="s">
        <v>29</v>
      </c>
      <c r="F22" s="7" t="s">
        <v>31</v>
      </c>
      <c r="G22" s="7" t="s">
        <v>45</v>
      </c>
      <c r="H22" s="7" t="s">
        <v>46</v>
      </c>
      <c r="I22" s="33"/>
    </row>
    <row r="23" spans="1:13" x14ac:dyDescent="0.2">
      <c r="A23" s="34"/>
      <c r="B23" s="17"/>
      <c r="C23" s="53" t="s">
        <v>153</v>
      </c>
      <c r="D23" s="21" t="s">
        <v>113</v>
      </c>
      <c r="E23" s="42">
        <f>2/9</f>
        <v>0.22222222222222221</v>
      </c>
      <c r="F23" s="21">
        <v>400000</v>
      </c>
      <c r="G23" s="21">
        <v>1</v>
      </c>
      <c r="H23" s="22">
        <f>F23*E23*G23</f>
        <v>88888.888888888891</v>
      </c>
      <c r="I23" s="33"/>
      <c r="K23" s="9"/>
    </row>
    <row r="24" spans="1:13" x14ac:dyDescent="0.2">
      <c r="A24" s="34"/>
      <c r="B24" s="17"/>
      <c r="C24" s="53" t="s">
        <v>47</v>
      </c>
      <c r="D24" s="21" t="s">
        <v>48</v>
      </c>
      <c r="E24" s="21">
        <v>1</v>
      </c>
      <c r="F24" s="21">
        <f>H18*0.01</f>
        <v>113.19788700000001</v>
      </c>
      <c r="G24" s="21">
        <v>1</v>
      </c>
      <c r="H24" s="22">
        <f>F24*E24*G24</f>
        <v>113.19788700000001</v>
      </c>
      <c r="I24" s="33"/>
      <c r="K24" s="9"/>
    </row>
    <row r="25" spans="1:13" x14ac:dyDescent="0.2">
      <c r="A25" s="34"/>
      <c r="B25" s="10"/>
      <c r="C25" s="14"/>
      <c r="D25" s="15"/>
      <c r="E25" s="15"/>
      <c r="F25" s="15"/>
      <c r="G25" s="30" t="s">
        <v>49</v>
      </c>
      <c r="H25" s="27">
        <f>SUM(H23:H24)</f>
        <v>89002.086775888893</v>
      </c>
      <c r="I25" s="33"/>
      <c r="K25" s="9"/>
    </row>
    <row r="26" spans="1:13" x14ac:dyDescent="0.2">
      <c r="A26" s="34"/>
      <c r="B26" s="13"/>
      <c r="C26" s="14"/>
      <c r="D26" s="15"/>
      <c r="E26" s="15"/>
      <c r="F26" s="15"/>
      <c r="G26" s="30" t="s">
        <v>50</v>
      </c>
      <c r="H26" s="27">
        <f>H25/$H$8</f>
        <v>2225.0521693972223</v>
      </c>
      <c r="I26" s="33"/>
      <c r="K26" s="9"/>
    </row>
    <row r="27" spans="1:13" x14ac:dyDescent="0.2">
      <c r="A27" s="32"/>
      <c r="B27" s="10"/>
      <c r="C27" s="4"/>
      <c r="D27" s="11"/>
      <c r="E27" s="11"/>
      <c r="F27" s="11"/>
      <c r="G27" s="11"/>
      <c r="H27" s="12"/>
      <c r="I27" s="33"/>
      <c r="K27" s="9"/>
    </row>
    <row r="28" spans="1:13" x14ac:dyDescent="0.2">
      <c r="A28" s="32" t="s">
        <v>51</v>
      </c>
      <c r="B28" s="10"/>
      <c r="C28" s="4"/>
      <c r="D28" s="11"/>
      <c r="E28" s="11"/>
      <c r="F28" s="11"/>
      <c r="G28" s="11"/>
      <c r="H28" s="12"/>
      <c r="I28" s="33"/>
    </row>
    <row r="29" spans="1:13" x14ac:dyDescent="0.2">
      <c r="A29" s="32"/>
      <c r="B29" s="7" t="s">
        <v>27</v>
      </c>
      <c r="C29" s="7" t="s">
        <v>28</v>
      </c>
      <c r="D29" s="7" t="s">
        <v>11</v>
      </c>
      <c r="E29" s="7" t="s">
        <v>29</v>
      </c>
      <c r="F29" s="7" t="s">
        <v>52</v>
      </c>
      <c r="G29" s="7"/>
      <c r="H29" s="7" t="s">
        <v>46</v>
      </c>
      <c r="I29" s="33"/>
    </row>
    <row r="30" spans="1:13" x14ac:dyDescent="0.2">
      <c r="A30" s="32"/>
      <c r="B30" s="17"/>
      <c r="C30" s="53" t="s">
        <v>117</v>
      </c>
      <c r="D30" s="21" t="s">
        <v>118</v>
      </c>
      <c r="E30" s="20">
        <f>E31/2</f>
        <v>0.5</v>
      </c>
      <c r="F30" s="18">
        <v>40000</v>
      </c>
      <c r="G30" s="21"/>
      <c r="H30" s="18">
        <f>E30*F30</f>
        <v>20000</v>
      </c>
      <c r="I30" s="33"/>
    </row>
    <row r="31" spans="1:13" x14ac:dyDescent="0.2">
      <c r="A31" s="32"/>
      <c r="B31" s="17"/>
      <c r="C31" s="53" t="s">
        <v>53</v>
      </c>
      <c r="D31" s="21" t="s">
        <v>118</v>
      </c>
      <c r="E31" s="20">
        <v>1</v>
      </c>
      <c r="F31" s="18">
        <v>35000</v>
      </c>
      <c r="G31" s="62"/>
      <c r="H31" s="18">
        <f>E31*F31</f>
        <v>35000</v>
      </c>
      <c r="I31" s="33"/>
    </row>
    <row r="32" spans="1:13" x14ac:dyDescent="0.2">
      <c r="A32" s="32"/>
      <c r="B32" s="17"/>
      <c r="C32" s="53" t="s">
        <v>55</v>
      </c>
      <c r="D32" s="21" t="s">
        <v>118</v>
      </c>
      <c r="E32" s="20">
        <v>1</v>
      </c>
      <c r="F32" s="18">
        <v>30000</v>
      </c>
      <c r="G32" s="62"/>
      <c r="H32" s="18">
        <f>E32*F32</f>
        <v>30000</v>
      </c>
      <c r="I32" s="33"/>
    </row>
    <row r="33" spans="1:9" x14ac:dyDescent="0.2">
      <c r="A33" s="32"/>
      <c r="B33" s="17"/>
      <c r="C33" s="53" t="s">
        <v>57</v>
      </c>
      <c r="D33" s="21" t="s">
        <v>118</v>
      </c>
      <c r="E33" s="20">
        <v>1</v>
      </c>
      <c r="F33" s="18">
        <v>25000</v>
      </c>
      <c r="G33" s="62"/>
      <c r="H33" s="18">
        <f t="shared" ref="H33" si="1">E33*F33</f>
        <v>25000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0" t="s">
        <v>58</v>
      </c>
      <c r="H34" s="63">
        <f>SUM(H30:H33)</f>
        <v>110000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1"/>
      <c r="H35" s="12"/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59</v>
      </c>
      <c r="H36" s="63">
        <f>H34</f>
        <v>110000</v>
      </c>
      <c r="I36" s="33"/>
    </row>
    <row r="37" spans="1:9" x14ac:dyDescent="0.2">
      <c r="A37" s="32"/>
      <c r="B37" s="10"/>
      <c r="C37" s="4"/>
      <c r="D37" s="11"/>
      <c r="E37" s="69">
        <v>0.56999999999999995</v>
      </c>
      <c r="F37" s="11"/>
      <c r="G37" s="30" t="s">
        <v>60</v>
      </c>
      <c r="H37" s="70">
        <f>H36*E37</f>
        <v>62699.999999999993</v>
      </c>
      <c r="I37" s="33"/>
    </row>
    <row r="38" spans="1:9" x14ac:dyDescent="0.2">
      <c r="A38" s="32"/>
      <c r="B38" s="10"/>
      <c r="C38" s="4"/>
      <c r="D38" s="11"/>
      <c r="E38" s="69">
        <v>0</v>
      </c>
      <c r="F38" s="11"/>
      <c r="G38" s="30" t="s">
        <v>61</v>
      </c>
      <c r="H38" s="63">
        <f>H36*E38</f>
        <v>0</v>
      </c>
      <c r="I38" s="33"/>
    </row>
    <row r="39" spans="1:9" x14ac:dyDescent="0.2">
      <c r="A39" s="32"/>
      <c r="B39" s="10"/>
      <c r="C39" s="4"/>
      <c r="D39" s="11"/>
      <c r="E39" s="11"/>
      <c r="F39" s="11"/>
      <c r="G39" s="31"/>
      <c r="H39" s="12"/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58</v>
      </c>
      <c r="H40" s="63">
        <f>H36+H37+H38</f>
        <v>172700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62</v>
      </c>
      <c r="H41" s="71">
        <f>H40/$H$8</f>
        <v>4317.5</v>
      </c>
      <c r="I41" s="33"/>
    </row>
    <row r="42" spans="1:9" x14ac:dyDescent="0.2">
      <c r="A42" s="32"/>
      <c r="B42" s="10"/>
      <c r="C42" s="4"/>
      <c r="D42" s="11"/>
      <c r="E42" s="11"/>
      <c r="F42" s="11"/>
      <c r="G42" s="31"/>
      <c r="H42" s="12"/>
      <c r="I42" s="33"/>
    </row>
    <row r="43" spans="1:9" x14ac:dyDescent="0.2">
      <c r="A43" s="32"/>
      <c r="B43" s="10"/>
      <c r="C43" s="4"/>
      <c r="D43" s="11"/>
      <c r="E43" s="11"/>
      <c r="F43" s="11"/>
      <c r="G43" s="30" t="s">
        <v>63</v>
      </c>
      <c r="H43" s="63">
        <f>H19+H26+H41</f>
        <v>17862.340869397223</v>
      </c>
      <c r="I43" s="33"/>
    </row>
    <row r="44" spans="1:9" x14ac:dyDescent="0.2">
      <c r="A44" s="32"/>
      <c r="B44" s="10"/>
      <c r="C44" s="4"/>
      <c r="D44" s="11"/>
      <c r="E44" s="11"/>
      <c r="F44" s="11"/>
      <c r="G44" s="11"/>
      <c r="H44" s="63"/>
      <c r="I44" s="33"/>
    </row>
    <row r="45" spans="1:9" x14ac:dyDescent="0.2">
      <c r="A45" s="32"/>
      <c r="B45" s="10"/>
      <c r="C45" s="4"/>
      <c r="D45" s="69">
        <v>0</v>
      </c>
      <c r="E45" s="11"/>
      <c r="F45" s="11"/>
      <c r="G45" s="28" t="s">
        <v>64</v>
      </c>
      <c r="H45" s="63">
        <f>D45*H43</f>
        <v>0</v>
      </c>
      <c r="I45" s="33"/>
    </row>
    <row r="46" spans="1:9" x14ac:dyDescent="0.2">
      <c r="A46" s="32"/>
      <c r="B46" s="10"/>
      <c r="C46" s="4"/>
      <c r="D46" s="11"/>
      <c r="E46" s="11"/>
      <c r="F46" s="11"/>
      <c r="G46" s="28" t="s">
        <v>65</v>
      </c>
      <c r="H46" s="63">
        <f>H43+H45</f>
        <v>17862.340869397223</v>
      </c>
      <c r="I46" s="33"/>
    </row>
    <row r="47" spans="1:9" x14ac:dyDescent="0.2">
      <c r="A47" s="32"/>
      <c r="B47" s="10"/>
      <c r="C47" s="4"/>
      <c r="D47" s="69">
        <v>0</v>
      </c>
      <c r="E47" s="11"/>
      <c r="F47" s="11"/>
      <c r="G47" s="28" t="s">
        <v>66</v>
      </c>
      <c r="H47" s="63">
        <f>D47*H46</f>
        <v>0</v>
      </c>
      <c r="I47" s="33"/>
    </row>
    <row r="48" spans="1:9" x14ac:dyDescent="0.2">
      <c r="A48" s="32"/>
      <c r="B48" s="10"/>
      <c r="C48" s="4"/>
      <c r="D48" s="11"/>
      <c r="E48" s="11"/>
      <c r="F48" s="11"/>
      <c r="G48" s="11"/>
      <c r="H48" s="12"/>
      <c r="I48" s="33"/>
    </row>
    <row r="49" spans="1:9" x14ac:dyDescent="0.2">
      <c r="A49" s="32"/>
      <c r="B49" s="10"/>
      <c r="C49" s="4"/>
      <c r="D49" s="11"/>
      <c r="E49" s="11"/>
      <c r="F49" s="11"/>
      <c r="H49" s="12"/>
      <c r="I49" s="33"/>
    </row>
    <row r="50" spans="1:9" x14ac:dyDescent="0.2">
      <c r="A50" s="32"/>
      <c r="B50" s="10"/>
      <c r="C50" s="4"/>
      <c r="D50" s="11"/>
      <c r="E50" s="11"/>
      <c r="F50" s="40"/>
      <c r="G50" s="41" t="s">
        <v>67</v>
      </c>
      <c r="H50" s="72">
        <f>H46+H47</f>
        <v>17862.340869397223</v>
      </c>
      <c r="I50" s="33"/>
    </row>
    <row r="51" spans="1:9" x14ac:dyDescent="0.2">
      <c r="A51" s="32"/>
      <c r="B51" s="10"/>
      <c r="C51" s="4"/>
      <c r="D51" s="11"/>
      <c r="E51" s="11"/>
      <c r="F51" s="40"/>
      <c r="G51" s="41" t="s">
        <v>68</v>
      </c>
      <c r="H51" s="72">
        <f>(H19+H26+(H41*H10))</f>
        <v>16600.557717571472</v>
      </c>
      <c r="I51" s="33"/>
    </row>
    <row r="52" spans="1:9" x14ac:dyDescent="0.2">
      <c r="A52" s="37"/>
      <c r="B52" s="38"/>
      <c r="C52" s="38"/>
      <c r="D52" s="38"/>
      <c r="E52" s="38"/>
      <c r="F52" s="38"/>
      <c r="G52" s="38"/>
      <c r="H52" s="38"/>
      <c r="I52" s="39"/>
    </row>
  </sheetData>
  <mergeCells count="1">
    <mergeCell ref="A7:I7"/>
  </mergeCells>
  <pageMargins left="0.7" right="0.7" top="0.75" bottom="0.75" header="0.3" footer="0.3"/>
  <pageSetup scale="9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FC9A87-B3DB-45FB-BAD8-E287D081DE02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51"/>
  <sheetViews>
    <sheetView view="pageBreakPreview" zoomScaleNormal="100" zoomScaleSheetLayoutView="100" workbookViewId="0">
      <selection activeCell="J11" sqref="J11:L26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4.285156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154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136</v>
      </c>
      <c r="G8" s="23" t="s">
        <v>24</v>
      </c>
      <c r="H8" s="25">
        <v>10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155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/>
    </row>
    <row r="15" spans="1:11" x14ac:dyDescent="0.2">
      <c r="A15" s="34"/>
      <c r="B15" s="7"/>
      <c r="C15" s="113" t="s">
        <v>156</v>
      </c>
      <c r="D15" s="102" t="s">
        <v>107</v>
      </c>
      <c r="E15" s="116">
        <v>0.125</v>
      </c>
      <c r="F15" s="102">
        <v>0</v>
      </c>
      <c r="G15" s="105">
        <v>51150</v>
      </c>
      <c r="H15" s="106">
        <f>E15*(1+F15)*G15</f>
        <v>6393.75</v>
      </c>
      <c r="I15" s="36"/>
      <c r="J15" s="123"/>
    </row>
    <row r="16" spans="1:11" x14ac:dyDescent="0.2">
      <c r="A16" s="34"/>
      <c r="B16" s="7"/>
      <c r="C16" s="53" t="s">
        <v>157</v>
      </c>
      <c r="D16" s="56" t="s">
        <v>107</v>
      </c>
      <c r="E16" s="54">
        <v>0.25</v>
      </c>
      <c r="F16" s="56">
        <v>0</v>
      </c>
      <c r="G16" s="60">
        <v>17500</v>
      </c>
      <c r="H16" s="58">
        <f t="shared" ref="H16:H18" si="0">E16*(1+F16)*G16</f>
        <v>4375</v>
      </c>
      <c r="I16" s="36"/>
    </row>
    <row r="17" spans="1:13" x14ac:dyDescent="0.2">
      <c r="A17" s="34"/>
      <c r="B17" s="7"/>
      <c r="C17" s="53" t="s">
        <v>158</v>
      </c>
      <c r="D17" s="56" t="s">
        <v>107</v>
      </c>
      <c r="E17" s="54">
        <v>0.125</v>
      </c>
      <c r="F17" s="56">
        <v>0</v>
      </c>
      <c r="G17" s="60">
        <v>6500</v>
      </c>
      <c r="H17" s="58">
        <f t="shared" si="0"/>
        <v>812.5</v>
      </c>
      <c r="I17" s="36"/>
    </row>
    <row r="18" spans="1:13" x14ac:dyDescent="0.2">
      <c r="A18" s="34"/>
      <c r="B18" s="17"/>
      <c r="C18" s="53" t="s">
        <v>159</v>
      </c>
      <c r="D18" s="20" t="s">
        <v>107</v>
      </c>
      <c r="E18" s="54">
        <v>0.125</v>
      </c>
      <c r="F18" s="56">
        <v>0</v>
      </c>
      <c r="G18" s="60">
        <v>22200</v>
      </c>
      <c r="H18" s="58">
        <f t="shared" si="0"/>
        <v>2775</v>
      </c>
      <c r="I18" s="36"/>
    </row>
    <row r="19" spans="1:13" x14ac:dyDescent="0.2">
      <c r="A19" s="34"/>
      <c r="B19" s="13"/>
      <c r="C19" s="14"/>
      <c r="D19" s="26"/>
      <c r="E19" s="26"/>
      <c r="F19" s="26"/>
      <c r="G19" s="29" t="s">
        <v>42</v>
      </c>
      <c r="H19" s="16">
        <f>SUM(H15:H18)</f>
        <v>14356.25</v>
      </c>
      <c r="I19" s="36"/>
    </row>
    <row r="20" spans="1:13" x14ac:dyDescent="0.2">
      <c r="A20" s="34"/>
      <c r="B20" s="13"/>
      <c r="C20" s="14"/>
      <c r="D20" s="26"/>
      <c r="E20" s="26"/>
      <c r="F20" s="26"/>
      <c r="G20" s="29" t="s">
        <v>43</v>
      </c>
      <c r="H20" s="16">
        <f>H19</f>
        <v>14356.25</v>
      </c>
      <c r="I20" s="36"/>
    </row>
    <row r="21" spans="1:13" x14ac:dyDescent="0.2">
      <c r="A21" s="35"/>
      <c r="B21" s="5"/>
      <c r="C21" s="5"/>
      <c r="D21" s="5"/>
      <c r="E21" s="5"/>
      <c r="F21" s="5"/>
      <c r="G21" s="5"/>
      <c r="H21" s="5"/>
      <c r="I21" s="36"/>
    </row>
    <row r="22" spans="1:13" x14ac:dyDescent="0.2">
      <c r="A22" s="32" t="s">
        <v>44</v>
      </c>
      <c r="B22" s="4"/>
      <c r="C22" s="4"/>
      <c r="D22" s="4"/>
      <c r="E22" s="4"/>
      <c r="F22" s="4"/>
      <c r="G22" s="4"/>
      <c r="H22" s="4"/>
      <c r="I22" s="33"/>
      <c r="M22" s="8"/>
    </row>
    <row r="23" spans="1:13" x14ac:dyDescent="0.2">
      <c r="A23" s="34"/>
      <c r="B23" s="7" t="s">
        <v>27</v>
      </c>
      <c r="C23" s="7" t="s">
        <v>28</v>
      </c>
      <c r="D23" s="7" t="s">
        <v>11</v>
      </c>
      <c r="E23" s="7" t="s">
        <v>29</v>
      </c>
      <c r="F23" s="7" t="s">
        <v>31</v>
      </c>
      <c r="G23" s="7" t="s">
        <v>45</v>
      </c>
      <c r="H23" s="7" t="s">
        <v>46</v>
      </c>
      <c r="I23" s="33"/>
    </row>
    <row r="24" spans="1:13" x14ac:dyDescent="0.2">
      <c r="A24" s="34"/>
      <c r="B24" s="17"/>
      <c r="C24" s="53" t="s">
        <v>127</v>
      </c>
      <c r="D24" s="21" t="s">
        <v>128</v>
      </c>
      <c r="E24" s="21">
        <v>1</v>
      </c>
      <c r="F24" s="21">
        <f>0.05*H20</f>
        <v>717.8125</v>
      </c>
      <c r="G24" s="21"/>
      <c r="H24" s="22">
        <f>E24*F24</f>
        <v>717.8125</v>
      </c>
      <c r="I24" s="33"/>
      <c r="K24" s="9"/>
    </row>
    <row r="25" spans="1:13" x14ac:dyDescent="0.2">
      <c r="A25" s="34"/>
      <c r="B25" s="13"/>
      <c r="C25" s="14"/>
      <c r="D25" s="15"/>
      <c r="E25" s="15"/>
      <c r="F25" s="15"/>
      <c r="G25" s="30" t="s">
        <v>49</v>
      </c>
      <c r="H25" s="27">
        <f>SUM(H24)</f>
        <v>717.8125</v>
      </c>
      <c r="I25" s="33"/>
      <c r="K25" s="9"/>
    </row>
    <row r="26" spans="1:13" x14ac:dyDescent="0.2">
      <c r="A26" s="34"/>
      <c r="B26" s="13"/>
      <c r="C26" s="14"/>
      <c r="D26" s="15"/>
      <c r="E26" s="15"/>
      <c r="F26" s="15"/>
      <c r="G26" s="30" t="s">
        <v>50</v>
      </c>
      <c r="H26" s="27">
        <f>H25/$H$8</f>
        <v>71.78125</v>
      </c>
      <c r="I26" s="33"/>
      <c r="K26" s="9"/>
    </row>
    <row r="27" spans="1:13" x14ac:dyDescent="0.2">
      <c r="A27" s="32"/>
      <c r="B27" s="10"/>
      <c r="C27" s="4"/>
      <c r="D27" s="11"/>
      <c r="E27" s="11"/>
      <c r="F27" s="11"/>
      <c r="G27" s="11"/>
      <c r="H27" s="12"/>
      <c r="I27" s="33"/>
      <c r="K27" s="9"/>
    </row>
    <row r="28" spans="1:13" x14ac:dyDescent="0.2">
      <c r="A28" s="32" t="s">
        <v>51</v>
      </c>
      <c r="B28" s="10"/>
      <c r="C28" s="4"/>
      <c r="D28" s="11"/>
      <c r="E28" s="11"/>
      <c r="F28" s="11"/>
      <c r="G28" s="11"/>
      <c r="H28" s="12"/>
      <c r="I28" s="33"/>
      <c r="K28" s="9"/>
    </row>
    <row r="29" spans="1:13" x14ac:dyDescent="0.2">
      <c r="A29" s="32"/>
      <c r="B29" s="7" t="s">
        <v>27</v>
      </c>
      <c r="C29" s="7" t="s">
        <v>28</v>
      </c>
      <c r="D29" s="7" t="s">
        <v>11</v>
      </c>
      <c r="E29" s="7" t="s">
        <v>29</v>
      </c>
      <c r="F29" s="7" t="s">
        <v>52</v>
      </c>
      <c r="G29" s="7"/>
      <c r="H29" s="7" t="s">
        <v>46</v>
      </c>
      <c r="I29" s="33"/>
    </row>
    <row r="30" spans="1:13" x14ac:dyDescent="0.2">
      <c r="A30" s="32"/>
      <c r="B30" s="7"/>
      <c r="C30" s="53" t="s">
        <v>117</v>
      </c>
      <c r="D30" s="21" t="s">
        <v>54</v>
      </c>
      <c r="E30" s="54">
        <v>0.25</v>
      </c>
      <c r="F30" s="81">
        <v>40000</v>
      </c>
      <c r="G30" s="7"/>
      <c r="H30" s="87">
        <f>E30*F30</f>
        <v>10000</v>
      </c>
      <c r="I30" s="33"/>
    </row>
    <row r="31" spans="1:13" x14ac:dyDescent="0.2">
      <c r="A31" s="32"/>
      <c r="B31" s="17"/>
      <c r="C31" s="53" t="s">
        <v>91</v>
      </c>
      <c r="D31" s="21" t="s">
        <v>54</v>
      </c>
      <c r="E31" s="54">
        <v>1</v>
      </c>
      <c r="F31" s="81">
        <v>35000</v>
      </c>
      <c r="G31" s="21"/>
      <c r="H31" s="87">
        <f t="shared" ref="H31:H32" si="1">E31*F31</f>
        <v>35000</v>
      </c>
      <c r="I31" s="33"/>
    </row>
    <row r="32" spans="1:13" x14ac:dyDescent="0.2">
      <c r="A32" s="32"/>
      <c r="B32" s="17"/>
      <c r="C32" s="53" t="s">
        <v>57</v>
      </c>
      <c r="D32" s="21" t="s">
        <v>54</v>
      </c>
      <c r="E32" s="54">
        <v>2</v>
      </c>
      <c r="F32" s="18">
        <v>25000</v>
      </c>
      <c r="G32" s="21"/>
      <c r="H32" s="87">
        <f t="shared" si="1"/>
        <v>50000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58</v>
      </c>
      <c r="H33" s="88">
        <f>SUM(H30:H32)</f>
        <v>95000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59</v>
      </c>
      <c r="H35" s="63">
        <f>H33</f>
        <v>95000</v>
      </c>
      <c r="I35" s="33"/>
    </row>
    <row r="36" spans="1:9" x14ac:dyDescent="0.2">
      <c r="A36" s="32"/>
      <c r="B36" s="10"/>
      <c r="C36" s="4"/>
      <c r="D36" s="11"/>
      <c r="E36" s="69">
        <v>0.56999999999999995</v>
      </c>
      <c r="F36" s="11"/>
      <c r="G36" s="30" t="s">
        <v>60</v>
      </c>
      <c r="H36" s="70">
        <f>H35*E36</f>
        <v>54149.999999999993</v>
      </c>
      <c r="I36" s="33"/>
    </row>
    <row r="37" spans="1:9" x14ac:dyDescent="0.2">
      <c r="A37" s="32"/>
      <c r="B37" s="10"/>
      <c r="C37" s="4"/>
      <c r="D37" s="11"/>
      <c r="E37" s="69">
        <v>0</v>
      </c>
      <c r="F37" s="11"/>
      <c r="G37" s="30" t="s">
        <v>61</v>
      </c>
      <c r="H37" s="63">
        <f>H35*E37</f>
        <v>0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1"/>
      <c r="H38" s="12"/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58</v>
      </c>
      <c r="H39" s="63">
        <f>H35+H36+H37</f>
        <v>149150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62</v>
      </c>
      <c r="H40" s="71">
        <f>H39/$H$8</f>
        <v>14915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63</v>
      </c>
      <c r="H42" s="63">
        <f>H20+H26+H40</f>
        <v>29343.03125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63"/>
      <c r="I43" s="33"/>
    </row>
    <row r="44" spans="1:9" x14ac:dyDescent="0.2">
      <c r="A44" s="32"/>
      <c r="B44" s="10"/>
      <c r="C44" s="4"/>
      <c r="D44" s="69">
        <v>0</v>
      </c>
      <c r="E44" s="11"/>
      <c r="F44" s="11"/>
      <c r="G44" s="28" t="s">
        <v>64</v>
      </c>
      <c r="H44" s="63">
        <f>D44*H42</f>
        <v>0</v>
      </c>
      <c r="I44" s="33"/>
    </row>
    <row r="45" spans="1:9" x14ac:dyDescent="0.2">
      <c r="A45" s="32"/>
      <c r="B45" s="10"/>
      <c r="C45" s="4"/>
      <c r="D45" s="11"/>
      <c r="E45" s="11"/>
      <c r="F45" s="11"/>
      <c r="G45" s="28" t="s">
        <v>65</v>
      </c>
      <c r="H45" s="63">
        <f>H42+H44</f>
        <v>29343.03125</v>
      </c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66</v>
      </c>
      <c r="H46" s="63">
        <f>D46*H45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11"/>
      <c r="H47" s="12"/>
      <c r="I47" s="33"/>
    </row>
    <row r="48" spans="1:9" x14ac:dyDescent="0.2">
      <c r="A48" s="32"/>
      <c r="B48" s="10"/>
      <c r="C48" s="4"/>
      <c r="D48" s="11"/>
      <c r="E48" s="11"/>
      <c r="F48" s="11"/>
      <c r="H48" s="12"/>
      <c r="I48" s="33"/>
    </row>
    <row r="49" spans="1:11" x14ac:dyDescent="0.2">
      <c r="A49" s="32"/>
      <c r="B49" s="10"/>
      <c r="C49" s="4"/>
      <c r="D49" s="11"/>
      <c r="E49" s="11"/>
      <c r="F49" s="40"/>
      <c r="G49" s="41" t="s">
        <v>67</v>
      </c>
      <c r="H49" s="72">
        <f>H45+H46</f>
        <v>29343.03125</v>
      </c>
      <c r="I49" s="33"/>
      <c r="K49" s="92"/>
    </row>
    <row r="50" spans="1:11" x14ac:dyDescent="0.2">
      <c r="A50" s="32"/>
      <c r="B50" s="10"/>
      <c r="C50" s="4"/>
      <c r="D50" s="11"/>
      <c r="E50" s="11"/>
      <c r="F50" s="40"/>
      <c r="G50" s="41" t="s">
        <v>68</v>
      </c>
      <c r="H50" s="72">
        <f>(H20+H26+(H40*H10))</f>
        <v>24984.143998238309</v>
      </c>
      <c r="I50" s="33"/>
    </row>
    <row r="51" spans="1:11" x14ac:dyDescent="0.2">
      <c r="A51" s="37"/>
      <c r="B51" s="38"/>
      <c r="C51" s="38"/>
      <c r="D51" s="38"/>
      <c r="E51" s="38"/>
      <c r="F51" s="38"/>
      <c r="G51" s="38"/>
      <c r="H51" s="38"/>
      <c r="I51" s="39"/>
    </row>
  </sheetData>
  <mergeCells count="2">
    <mergeCell ref="A7:I7"/>
    <mergeCell ref="B11:C11"/>
  </mergeCells>
  <pageMargins left="0.7" right="0.7" top="0.75" bottom="0.75" header="0.3" footer="0.3"/>
  <pageSetup scale="9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3A40D4-9A73-4A14-872E-C75FB6F41238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51"/>
  <sheetViews>
    <sheetView view="pageBreakPreview" zoomScaleNormal="100" zoomScaleSheetLayoutView="100" workbookViewId="0">
      <selection activeCell="J11" sqref="J11:L25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160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6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161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/>
    </row>
    <row r="15" spans="1:11" x14ac:dyDescent="0.2">
      <c r="A15" s="34"/>
      <c r="B15" s="109"/>
      <c r="C15" s="113" t="s">
        <v>162</v>
      </c>
      <c r="D15" s="102" t="s">
        <v>107</v>
      </c>
      <c r="E15" s="115">
        <v>0.02</v>
      </c>
      <c r="F15" s="115">
        <v>0</v>
      </c>
      <c r="G15" s="105">
        <f>280*$F$9</f>
        <v>250549.6</v>
      </c>
      <c r="H15" s="106">
        <f>E15*(1+F15)*G15</f>
        <v>5010.9920000000002</v>
      </c>
      <c r="I15" s="36"/>
      <c r="J15" s="123"/>
    </row>
    <row r="16" spans="1:11" x14ac:dyDescent="0.2">
      <c r="A16" s="34"/>
      <c r="B16" s="7"/>
      <c r="C16" s="53" t="s">
        <v>163</v>
      </c>
      <c r="D16" s="56" t="s">
        <v>107</v>
      </c>
      <c r="E16" s="20">
        <v>0.02</v>
      </c>
      <c r="F16" s="20">
        <v>0</v>
      </c>
      <c r="G16" s="60">
        <f>270*$F$9</f>
        <v>241601.40000000002</v>
      </c>
      <c r="H16" s="58">
        <f t="shared" ref="H16:H18" si="0">E16*(1+F16)*G16</f>
        <v>4832.0280000000002</v>
      </c>
      <c r="I16" s="36"/>
    </row>
    <row r="17" spans="1:13" x14ac:dyDescent="0.2">
      <c r="A17" s="34"/>
      <c r="B17" s="7"/>
      <c r="C17" s="53" t="s">
        <v>164</v>
      </c>
      <c r="D17" s="56" t="s">
        <v>107</v>
      </c>
      <c r="E17" s="20">
        <v>0.02</v>
      </c>
      <c r="F17" s="20">
        <v>0</v>
      </c>
      <c r="G17" s="60">
        <v>93350</v>
      </c>
      <c r="H17" s="58">
        <f t="shared" si="0"/>
        <v>1867</v>
      </c>
      <c r="I17" s="36"/>
    </row>
    <row r="18" spans="1:13" x14ac:dyDescent="0.2">
      <c r="A18" s="34"/>
      <c r="B18" s="17"/>
      <c r="C18" s="53" t="s">
        <v>165</v>
      </c>
      <c r="D18" s="20" t="s">
        <v>107</v>
      </c>
      <c r="E18" s="20">
        <v>0.02</v>
      </c>
      <c r="F18" s="20">
        <v>0</v>
      </c>
      <c r="G18" s="60">
        <v>45000</v>
      </c>
      <c r="H18" s="58">
        <f t="shared" si="0"/>
        <v>900</v>
      </c>
      <c r="I18" s="36"/>
    </row>
    <row r="19" spans="1:13" x14ac:dyDescent="0.2">
      <c r="A19" s="34"/>
      <c r="B19" s="13"/>
      <c r="C19" s="14"/>
      <c r="D19" s="26"/>
      <c r="E19" s="26"/>
      <c r="F19" s="26"/>
      <c r="G19" s="29" t="s">
        <v>42</v>
      </c>
      <c r="H19" s="16">
        <f>SUM(H15:H18)</f>
        <v>12610.02</v>
      </c>
      <c r="I19" s="36"/>
    </row>
    <row r="20" spans="1:13" x14ac:dyDescent="0.2">
      <c r="A20" s="34"/>
      <c r="B20" s="13"/>
      <c r="C20" s="14"/>
      <c r="D20" s="26"/>
      <c r="E20" s="26"/>
      <c r="F20" s="26"/>
      <c r="G20" s="29" t="s">
        <v>43</v>
      </c>
      <c r="H20" s="16">
        <f>H19</f>
        <v>12610.02</v>
      </c>
      <c r="I20" s="36"/>
    </row>
    <row r="21" spans="1:13" x14ac:dyDescent="0.2">
      <c r="A21" s="35"/>
      <c r="B21" s="5"/>
      <c r="C21" s="5"/>
      <c r="D21" s="5"/>
      <c r="E21" s="5"/>
      <c r="F21" s="5"/>
      <c r="G21" s="5"/>
      <c r="H21" s="5"/>
      <c r="I21" s="36"/>
    </row>
    <row r="22" spans="1:13" x14ac:dyDescent="0.2">
      <c r="A22" s="32" t="s">
        <v>44</v>
      </c>
      <c r="B22" s="4"/>
      <c r="C22" s="4"/>
      <c r="D22" s="4"/>
      <c r="E22" s="4"/>
      <c r="F22" s="4"/>
      <c r="G22" s="4"/>
      <c r="H22" s="4"/>
      <c r="I22" s="33"/>
      <c r="M22" s="8"/>
    </row>
    <row r="23" spans="1:13" x14ac:dyDescent="0.2">
      <c r="A23" s="34"/>
      <c r="B23" s="7" t="s">
        <v>27</v>
      </c>
      <c r="C23" s="7" t="s">
        <v>28</v>
      </c>
      <c r="D23" s="7" t="s">
        <v>11</v>
      </c>
      <c r="E23" s="7" t="s">
        <v>29</v>
      </c>
      <c r="F23" s="7" t="s">
        <v>31</v>
      </c>
      <c r="G23" s="7" t="s">
        <v>45</v>
      </c>
      <c r="H23" s="7" t="s">
        <v>46</v>
      </c>
      <c r="I23" s="33"/>
    </row>
    <row r="24" spans="1:13" x14ac:dyDescent="0.2">
      <c r="A24" s="34"/>
      <c r="B24" s="17"/>
      <c r="C24" s="53" t="s">
        <v>127</v>
      </c>
      <c r="D24" s="21" t="s">
        <v>128</v>
      </c>
      <c r="E24" s="21">
        <v>1</v>
      </c>
      <c r="F24" s="21">
        <f>0.05*H20</f>
        <v>630.50100000000009</v>
      </c>
      <c r="G24" s="21"/>
      <c r="H24" s="22">
        <f>E24*F24</f>
        <v>630.50100000000009</v>
      </c>
      <c r="I24" s="33"/>
      <c r="K24" s="9"/>
    </row>
    <row r="25" spans="1:13" x14ac:dyDescent="0.2">
      <c r="A25" s="34"/>
      <c r="B25" s="13"/>
      <c r="C25" s="14"/>
      <c r="D25" s="15"/>
      <c r="E25" s="15"/>
      <c r="F25" s="15"/>
      <c r="G25" s="30" t="s">
        <v>49</v>
      </c>
      <c r="H25" s="27">
        <f>SUM(H24)</f>
        <v>630.50100000000009</v>
      </c>
      <c r="I25" s="33"/>
      <c r="K25" s="9"/>
    </row>
    <row r="26" spans="1:13" x14ac:dyDescent="0.2">
      <c r="A26" s="34"/>
      <c r="B26" s="13"/>
      <c r="C26" s="14"/>
      <c r="D26" s="15"/>
      <c r="E26" s="15"/>
      <c r="F26" s="15"/>
      <c r="G26" s="30" t="s">
        <v>50</v>
      </c>
      <c r="H26" s="27">
        <f>H25/$H$8</f>
        <v>105.08350000000002</v>
      </c>
      <c r="I26" s="33"/>
      <c r="K26" s="9"/>
    </row>
    <row r="27" spans="1:13" x14ac:dyDescent="0.2">
      <c r="A27" s="32"/>
      <c r="B27" s="10"/>
      <c r="C27" s="4"/>
      <c r="D27" s="11"/>
      <c r="E27" s="11"/>
      <c r="F27" s="11"/>
      <c r="G27" s="11"/>
      <c r="H27" s="12"/>
      <c r="I27" s="33"/>
      <c r="K27" s="9"/>
    </row>
    <row r="28" spans="1:13" x14ac:dyDescent="0.2">
      <c r="A28" s="32" t="s">
        <v>51</v>
      </c>
      <c r="B28" s="10"/>
      <c r="C28" s="4"/>
      <c r="D28" s="11"/>
      <c r="E28" s="11"/>
      <c r="F28" s="11"/>
      <c r="G28" s="11"/>
      <c r="H28" s="12"/>
      <c r="I28" s="33"/>
      <c r="K28" s="9"/>
    </row>
    <row r="29" spans="1:13" x14ac:dyDescent="0.2">
      <c r="A29" s="32"/>
      <c r="B29" s="7" t="s">
        <v>27</v>
      </c>
      <c r="C29" s="7" t="s">
        <v>28</v>
      </c>
      <c r="D29" s="7" t="s">
        <v>11</v>
      </c>
      <c r="E29" s="7" t="s">
        <v>29</v>
      </c>
      <c r="F29" s="7" t="s">
        <v>52</v>
      </c>
      <c r="G29" s="7"/>
      <c r="H29" s="7" t="s">
        <v>46</v>
      </c>
      <c r="I29" s="33"/>
    </row>
    <row r="30" spans="1:13" x14ac:dyDescent="0.2">
      <c r="A30" s="32"/>
      <c r="B30" s="7"/>
      <c r="C30" s="53" t="s">
        <v>117</v>
      </c>
      <c r="D30" s="21" t="s">
        <v>54</v>
      </c>
      <c r="E30" s="54">
        <v>0.25</v>
      </c>
      <c r="F30" s="81">
        <v>40000</v>
      </c>
      <c r="G30" s="7"/>
      <c r="H30" s="87">
        <f>E30*F30</f>
        <v>10000</v>
      </c>
      <c r="I30" s="33"/>
    </row>
    <row r="31" spans="1:13" x14ac:dyDescent="0.2">
      <c r="A31" s="32"/>
      <c r="B31" s="17"/>
      <c r="C31" s="53" t="s">
        <v>91</v>
      </c>
      <c r="D31" s="21" t="s">
        <v>54</v>
      </c>
      <c r="E31" s="54">
        <v>1</v>
      </c>
      <c r="F31" s="81">
        <v>35000</v>
      </c>
      <c r="G31" s="21"/>
      <c r="H31" s="87">
        <f t="shared" ref="H31:H32" si="1">E31*F31</f>
        <v>35000</v>
      </c>
      <c r="I31" s="33"/>
    </row>
    <row r="32" spans="1:13" x14ac:dyDescent="0.2">
      <c r="A32" s="32"/>
      <c r="B32" s="17"/>
      <c r="C32" s="53" t="s">
        <v>57</v>
      </c>
      <c r="D32" s="21" t="s">
        <v>54</v>
      </c>
      <c r="E32" s="54">
        <v>2</v>
      </c>
      <c r="F32" s="18">
        <v>25000</v>
      </c>
      <c r="G32" s="21"/>
      <c r="H32" s="87">
        <f t="shared" si="1"/>
        <v>50000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58</v>
      </c>
      <c r="H33" s="88">
        <f>SUM(H30:H32)</f>
        <v>95000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59</v>
      </c>
      <c r="H35" s="63">
        <f>H33</f>
        <v>95000</v>
      </c>
      <c r="I35" s="33"/>
    </row>
    <row r="36" spans="1:9" x14ac:dyDescent="0.2">
      <c r="A36" s="32"/>
      <c r="B36" s="10"/>
      <c r="C36" s="4"/>
      <c r="D36" s="11"/>
      <c r="E36" s="69">
        <v>0.56999999999999995</v>
      </c>
      <c r="F36" s="11"/>
      <c r="G36" s="30" t="s">
        <v>60</v>
      </c>
      <c r="H36" s="70">
        <f>H35*E36</f>
        <v>54149.999999999993</v>
      </c>
      <c r="I36" s="33"/>
    </row>
    <row r="37" spans="1:9" x14ac:dyDescent="0.2">
      <c r="A37" s="32"/>
      <c r="B37" s="10"/>
      <c r="C37" s="4"/>
      <c r="D37" s="11"/>
      <c r="E37" s="69">
        <v>0</v>
      </c>
      <c r="F37" s="11"/>
      <c r="G37" s="30" t="s">
        <v>61</v>
      </c>
      <c r="H37" s="63">
        <f>H35*E37</f>
        <v>0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1"/>
      <c r="H38" s="12"/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58</v>
      </c>
      <c r="H39" s="63">
        <f>H35+H36+H37</f>
        <v>149150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62</v>
      </c>
      <c r="H40" s="71">
        <f>H39/$H$8</f>
        <v>24858.333333333332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63</v>
      </c>
      <c r="H42" s="63">
        <f>H20+H26+H40</f>
        <v>37573.436833333333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63"/>
      <c r="I43" s="33"/>
    </row>
    <row r="44" spans="1:9" x14ac:dyDescent="0.2">
      <c r="A44" s="32"/>
      <c r="B44" s="10"/>
      <c r="C44" s="4"/>
      <c r="D44" s="69">
        <v>0</v>
      </c>
      <c r="E44" s="11"/>
      <c r="F44" s="11"/>
      <c r="G44" s="28" t="s">
        <v>64</v>
      </c>
      <c r="H44" s="63">
        <f>D44*H42</f>
        <v>0</v>
      </c>
      <c r="I44" s="33"/>
    </row>
    <row r="45" spans="1:9" x14ac:dyDescent="0.2">
      <c r="A45" s="32"/>
      <c r="B45" s="10"/>
      <c r="C45" s="4"/>
      <c r="D45" s="11"/>
      <c r="E45" s="11"/>
      <c r="F45" s="11"/>
      <c r="G45" s="28" t="s">
        <v>65</v>
      </c>
      <c r="H45" s="63">
        <f>H42+H44</f>
        <v>37573.436833333333</v>
      </c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66</v>
      </c>
      <c r="H46" s="63">
        <f>D46*H45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11"/>
      <c r="H47" s="12"/>
      <c r="I47" s="33"/>
    </row>
    <row r="48" spans="1:9" x14ac:dyDescent="0.2">
      <c r="A48" s="32"/>
      <c r="B48" s="10"/>
      <c r="C48" s="4"/>
      <c r="D48" s="11"/>
      <c r="E48" s="11"/>
      <c r="F48" s="11"/>
      <c r="H48" s="12"/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67</v>
      </c>
      <c r="H49" s="72">
        <f>H45+H46</f>
        <v>37573.436833333333</v>
      </c>
      <c r="I49" s="33"/>
    </row>
    <row r="50" spans="1:9" x14ac:dyDescent="0.2">
      <c r="A50" s="32"/>
      <c r="B50" s="10"/>
      <c r="C50" s="4"/>
      <c r="D50" s="11"/>
      <c r="E50" s="11"/>
      <c r="F50" s="40"/>
      <c r="G50" s="41" t="s">
        <v>68</v>
      </c>
      <c r="H50" s="72">
        <f>(H20+H26+(H40*H10))</f>
        <v>30308.624747063848</v>
      </c>
      <c r="I50" s="33"/>
    </row>
    <row r="51" spans="1:9" x14ac:dyDescent="0.2">
      <c r="A51" s="37"/>
      <c r="B51" s="38"/>
      <c r="C51" s="38"/>
      <c r="D51" s="38"/>
      <c r="E51" s="38"/>
      <c r="F51" s="38"/>
      <c r="G51" s="38"/>
      <c r="H51" s="38"/>
      <c r="I51" s="39"/>
    </row>
  </sheetData>
  <mergeCells count="2">
    <mergeCell ref="A7:I7"/>
    <mergeCell ref="B11:C11"/>
  </mergeCells>
  <pageMargins left="0.7" right="0.7" top="0.75" bottom="0.75" header="0.3" footer="0.3"/>
  <pageSetup scale="9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B7E960-E478-4369-92EC-91095DB79350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53"/>
  <sheetViews>
    <sheetView view="pageBreakPreview" zoomScaleNormal="100" zoomScaleSheetLayoutView="100" workbookViewId="0">
      <selection activeCell="J10" sqref="J10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166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5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167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/>
    </row>
    <row r="15" spans="1:11" x14ac:dyDescent="0.2">
      <c r="A15" s="34"/>
      <c r="B15" s="7"/>
      <c r="C15" s="83" t="s">
        <v>168</v>
      </c>
      <c r="D15" s="56" t="s">
        <v>107</v>
      </c>
      <c r="E15" s="20">
        <f>1/100</f>
        <v>0.01</v>
      </c>
      <c r="F15" s="20">
        <v>0</v>
      </c>
      <c r="G15" s="60">
        <f>280*$F$9</f>
        <v>250549.6</v>
      </c>
      <c r="H15" s="58">
        <f>E15*(1+F15)*G15</f>
        <v>2505.4960000000001</v>
      </c>
      <c r="I15" s="36"/>
      <c r="J15" s="122"/>
    </row>
    <row r="16" spans="1:11" x14ac:dyDescent="0.2">
      <c r="A16" s="34"/>
      <c r="B16" s="7"/>
      <c r="C16" s="83" t="s">
        <v>169</v>
      </c>
      <c r="D16" s="56" t="s">
        <v>107</v>
      </c>
      <c r="E16" s="20">
        <f t="shared" ref="E16:E20" si="0">1/100</f>
        <v>0.01</v>
      </c>
      <c r="F16" s="20">
        <v>0</v>
      </c>
      <c r="G16" s="60">
        <v>235000</v>
      </c>
      <c r="H16" s="58">
        <f t="shared" ref="H16" si="1">E16*(1+F16)*G16</f>
        <v>2350</v>
      </c>
      <c r="I16" s="36"/>
      <c r="J16" s="122"/>
    </row>
    <row r="17" spans="1:13" x14ac:dyDescent="0.2">
      <c r="A17" s="34"/>
      <c r="B17" s="7"/>
      <c r="C17" s="113" t="s">
        <v>170</v>
      </c>
      <c r="D17" s="102" t="s">
        <v>107</v>
      </c>
      <c r="E17" s="115">
        <f t="shared" si="0"/>
        <v>0.01</v>
      </c>
      <c r="F17" s="115">
        <v>0</v>
      </c>
      <c r="G17" s="105">
        <f>610*F9</f>
        <v>545840.20000000007</v>
      </c>
      <c r="H17" s="106">
        <f t="shared" ref="H17:H20" si="2">E17*(1+F17)*G17</f>
        <v>5458.402000000001</v>
      </c>
      <c r="I17" s="36"/>
      <c r="J17" s="122"/>
    </row>
    <row r="18" spans="1:13" x14ac:dyDescent="0.2">
      <c r="A18" s="34"/>
      <c r="B18" s="7"/>
      <c r="C18" s="83" t="s">
        <v>171</v>
      </c>
      <c r="D18" s="56" t="s">
        <v>107</v>
      </c>
      <c r="E18" s="20">
        <f t="shared" si="0"/>
        <v>0.01</v>
      </c>
      <c r="F18" s="20">
        <v>0</v>
      </c>
      <c r="G18" s="60">
        <v>450000</v>
      </c>
      <c r="H18" s="58">
        <f t="shared" si="2"/>
        <v>4500</v>
      </c>
      <c r="I18" s="36"/>
    </row>
    <row r="19" spans="1:13" x14ac:dyDescent="0.2">
      <c r="A19" s="34"/>
      <c r="B19" s="7"/>
      <c r="C19" s="83" t="s">
        <v>172</v>
      </c>
      <c r="D19" s="20" t="s">
        <v>107</v>
      </c>
      <c r="E19" s="20">
        <f t="shared" si="0"/>
        <v>0.01</v>
      </c>
      <c r="F19" s="20">
        <v>0</v>
      </c>
      <c r="G19" s="172">
        <v>168150</v>
      </c>
      <c r="H19" s="173">
        <f t="shared" si="2"/>
        <v>1681.5</v>
      </c>
      <c r="I19" s="36"/>
    </row>
    <row r="20" spans="1:13" x14ac:dyDescent="0.2">
      <c r="A20" s="34"/>
      <c r="B20" s="17"/>
      <c r="C20" s="83" t="s">
        <v>173</v>
      </c>
      <c r="D20" s="20" t="s">
        <v>107</v>
      </c>
      <c r="E20" s="20">
        <f t="shared" si="0"/>
        <v>0.01</v>
      </c>
      <c r="F20" s="20">
        <v>0</v>
      </c>
      <c r="G20" s="60">
        <v>68500</v>
      </c>
      <c r="H20" s="58">
        <f t="shared" si="2"/>
        <v>685</v>
      </c>
      <c r="I20" s="36"/>
    </row>
    <row r="21" spans="1:13" x14ac:dyDescent="0.2">
      <c r="A21" s="34"/>
      <c r="B21" s="13"/>
      <c r="C21" s="14"/>
      <c r="D21" s="26"/>
      <c r="E21" s="26"/>
      <c r="F21" s="26"/>
      <c r="G21" s="29" t="s">
        <v>42</v>
      </c>
      <c r="H21" s="16">
        <f>SUM(H16:H20)</f>
        <v>14674.902000000002</v>
      </c>
      <c r="I21" s="36"/>
    </row>
    <row r="22" spans="1:13" x14ac:dyDescent="0.2">
      <c r="A22" s="34"/>
      <c r="B22" s="13"/>
      <c r="C22" s="14"/>
      <c r="D22" s="26"/>
      <c r="E22" s="26"/>
      <c r="F22" s="26"/>
      <c r="G22" s="29" t="s">
        <v>43</v>
      </c>
      <c r="H22" s="16">
        <f>H21</f>
        <v>14674.902000000002</v>
      </c>
      <c r="I22" s="36"/>
    </row>
    <row r="23" spans="1:13" x14ac:dyDescent="0.2">
      <c r="A23" s="35"/>
      <c r="B23" s="5"/>
      <c r="C23" s="5"/>
      <c r="D23" s="5"/>
      <c r="E23" s="5"/>
      <c r="F23" s="5"/>
      <c r="G23" s="5"/>
      <c r="H23" s="5"/>
      <c r="I23" s="36"/>
    </row>
    <row r="24" spans="1:13" x14ac:dyDescent="0.2">
      <c r="A24" s="32" t="s">
        <v>44</v>
      </c>
      <c r="B24" s="4"/>
      <c r="C24" s="4"/>
      <c r="D24" s="4"/>
      <c r="E24" s="4"/>
      <c r="F24" s="4"/>
      <c r="G24" s="4"/>
      <c r="H24" s="4"/>
      <c r="I24" s="33"/>
      <c r="M24" s="8"/>
    </row>
    <row r="25" spans="1:13" x14ac:dyDescent="0.2">
      <c r="A25" s="34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31</v>
      </c>
      <c r="G25" s="7" t="s">
        <v>45</v>
      </c>
      <c r="H25" s="7" t="s">
        <v>46</v>
      </c>
      <c r="I25" s="33"/>
    </row>
    <row r="26" spans="1:13" x14ac:dyDescent="0.2">
      <c r="A26" s="34"/>
      <c r="B26" s="17"/>
      <c r="C26" s="53" t="s">
        <v>127</v>
      </c>
      <c r="D26" s="21" t="s">
        <v>128</v>
      </c>
      <c r="E26" s="21">
        <v>1</v>
      </c>
      <c r="F26" s="21">
        <f>0.1*H22</f>
        <v>1467.4902000000002</v>
      </c>
      <c r="G26" s="21"/>
      <c r="H26" s="22">
        <f>E26*F26</f>
        <v>1467.4902000000002</v>
      </c>
      <c r="I26" s="33"/>
      <c r="K26" s="9"/>
    </row>
    <row r="27" spans="1:13" x14ac:dyDescent="0.2">
      <c r="A27" s="34"/>
      <c r="B27" s="13"/>
      <c r="C27" s="14"/>
      <c r="D27" s="15"/>
      <c r="E27" s="15"/>
      <c r="F27" s="15"/>
      <c r="G27" s="30" t="s">
        <v>49</v>
      </c>
      <c r="H27" s="27">
        <f>SUM(H26)</f>
        <v>1467.4902000000002</v>
      </c>
      <c r="I27" s="33"/>
      <c r="K27" s="9"/>
    </row>
    <row r="28" spans="1:13" x14ac:dyDescent="0.2">
      <c r="A28" s="34"/>
      <c r="B28" s="13"/>
      <c r="C28" s="14"/>
      <c r="D28" s="15"/>
      <c r="E28" s="15"/>
      <c r="F28" s="15"/>
      <c r="G28" s="30" t="s">
        <v>50</v>
      </c>
      <c r="H28" s="27">
        <f>H27/$H$8</f>
        <v>293.49804000000006</v>
      </c>
      <c r="I28" s="33"/>
      <c r="K28" s="9"/>
    </row>
    <row r="29" spans="1:13" x14ac:dyDescent="0.2">
      <c r="A29" s="32"/>
      <c r="B29" s="10"/>
      <c r="C29" s="4"/>
      <c r="D29" s="11"/>
      <c r="E29" s="11"/>
      <c r="F29" s="11"/>
      <c r="G29" s="11"/>
      <c r="H29" s="12"/>
      <c r="I29" s="33"/>
      <c r="K29" s="9"/>
    </row>
    <row r="30" spans="1:13" x14ac:dyDescent="0.2">
      <c r="A30" s="32" t="s">
        <v>51</v>
      </c>
      <c r="B30" s="10"/>
      <c r="C30" s="4"/>
      <c r="D30" s="11"/>
      <c r="E30" s="11"/>
      <c r="F30" s="11"/>
      <c r="G30" s="11"/>
      <c r="H30" s="12"/>
      <c r="I30" s="33"/>
      <c r="K30" s="9"/>
    </row>
    <row r="31" spans="1:13" x14ac:dyDescent="0.2">
      <c r="A31" s="32"/>
      <c r="B31" s="7" t="s">
        <v>27</v>
      </c>
      <c r="C31" s="7" t="s">
        <v>28</v>
      </c>
      <c r="D31" s="7" t="s">
        <v>11</v>
      </c>
      <c r="E31" s="7" t="s">
        <v>29</v>
      </c>
      <c r="F31" s="7" t="s">
        <v>52</v>
      </c>
      <c r="G31" s="7"/>
      <c r="H31" s="7" t="s">
        <v>46</v>
      </c>
      <c r="I31" s="33"/>
    </row>
    <row r="32" spans="1:13" x14ac:dyDescent="0.2">
      <c r="A32" s="32"/>
      <c r="B32" s="7"/>
      <c r="C32" s="53" t="s">
        <v>117</v>
      </c>
      <c r="D32" s="21" t="s">
        <v>54</v>
      </c>
      <c r="E32" s="54">
        <v>0.25</v>
      </c>
      <c r="F32" s="81">
        <v>40000</v>
      </c>
      <c r="G32" s="7"/>
      <c r="H32" s="87">
        <f>E32*F32</f>
        <v>10000</v>
      </c>
      <c r="I32" s="33"/>
    </row>
    <row r="33" spans="1:9" x14ac:dyDescent="0.2">
      <c r="A33" s="32"/>
      <c r="B33" s="17"/>
      <c r="C33" s="53" t="s">
        <v>91</v>
      </c>
      <c r="D33" s="21" t="s">
        <v>54</v>
      </c>
      <c r="E33" s="54">
        <v>1</v>
      </c>
      <c r="F33" s="81">
        <v>35000</v>
      </c>
      <c r="G33" s="21"/>
      <c r="H33" s="87">
        <f t="shared" ref="H33:H34" si="3">E33*F33</f>
        <v>35000</v>
      </c>
      <c r="I33" s="33"/>
    </row>
    <row r="34" spans="1:9" x14ac:dyDescent="0.2">
      <c r="A34" s="32"/>
      <c r="B34" s="17"/>
      <c r="C34" s="53" t="s">
        <v>57</v>
      </c>
      <c r="D34" s="21" t="s">
        <v>54</v>
      </c>
      <c r="E34" s="54">
        <v>2</v>
      </c>
      <c r="F34" s="18">
        <v>25000</v>
      </c>
      <c r="G34" s="21"/>
      <c r="H34" s="87">
        <f t="shared" si="3"/>
        <v>50000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88">
        <f>SUM(H32:H34)</f>
        <v>95000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59</v>
      </c>
      <c r="H37" s="63">
        <f>H35</f>
        <v>95000</v>
      </c>
      <c r="I37" s="33"/>
    </row>
    <row r="38" spans="1:9" x14ac:dyDescent="0.2">
      <c r="A38" s="32"/>
      <c r="B38" s="10"/>
      <c r="C38" s="4"/>
      <c r="D38" s="11"/>
      <c r="E38" s="69">
        <v>0.56999999999999995</v>
      </c>
      <c r="F38" s="11"/>
      <c r="G38" s="30" t="s">
        <v>60</v>
      </c>
      <c r="H38" s="70">
        <f>H37*E38</f>
        <v>54149.999999999993</v>
      </c>
      <c r="I38" s="33"/>
    </row>
    <row r="39" spans="1:9" x14ac:dyDescent="0.2">
      <c r="A39" s="32"/>
      <c r="B39" s="10"/>
      <c r="C39" s="4"/>
      <c r="D39" s="11"/>
      <c r="E39" s="69">
        <v>0</v>
      </c>
      <c r="F39" s="11"/>
      <c r="G39" s="30" t="s">
        <v>61</v>
      </c>
      <c r="H39" s="63">
        <f>H37*E39</f>
        <v>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58</v>
      </c>
      <c r="H41" s="63">
        <f>H37+H38+H39</f>
        <v>149150</v>
      </c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62</v>
      </c>
      <c r="H42" s="71">
        <f>H41/$H$8</f>
        <v>29830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G44" s="30" t="s">
        <v>63</v>
      </c>
      <c r="H44" s="63">
        <f>H22+H28+H42</f>
        <v>44798.40004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63"/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64</v>
      </c>
      <c r="H46" s="63">
        <f>D46*H44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28" t="s">
        <v>65</v>
      </c>
      <c r="H47" s="63">
        <f>H44+H46</f>
        <v>44798.40004</v>
      </c>
      <c r="I47" s="33"/>
    </row>
    <row r="48" spans="1:9" x14ac:dyDescent="0.2">
      <c r="A48" s="32"/>
      <c r="B48" s="10"/>
      <c r="C48" s="4"/>
      <c r="D48" s="69">
        <v>0</v>
      </c>
      <c r="E48" s="11"/>
      <c r="F48" s="11"/>
      <c r="G48" s="28" t="s">
        <v>66</v>
      </c>
      <c r="H48" s="63">
        <f>D48*H47</f>
        <v>0</v>
      </c>
      <c r="I48" s="33"/>
    </row>
    <row r="49" spans="1:11" x14ac:dyDescent="0.2">
      <c r="A49" s="32"/>
      <c r="B49" s="10"/>
      <c r="C49" s="4"/>
      <c r="D49" s="11"/>
      <c r="E49" s="11"/>
      <c r="F49" s="11"/>
      <c r="G49" s="11"/>
      <c r="H49" s="12"/>
      <c r="I49" s="33"/>
    </row>
    <row r="50" spans="1:11" x14ac:dyDescent="0.2">
      <c r="A50" s="32"/>
      <c r="B50" s="10"/>
      <c r="C50" s="4"/>
      <c r="D50" s="11"/>
      <c r="E50" s="11"/>
      <c r="F50" s="11"/>
      <c r="H50" s="12"/>
      <c r="I50" s="33"/>
    </row>
    <row r="51" spans="1:11" x14ac:dyDescent="0.2">
      <c r="A51" s="32"/>
      <c r="B51" s="10"/>
      <c r="C51" s="4"/>
      <c r="D51" s="11"/>
      <c r="E51" s="11"/>
      <c r="F51" s="40"/>
      <c r="G51" s="41" t="s">
        <v>67</v>
      </c>
      <c r="H51" s="72">
        <f>H47+H48</f>
        <v>44798.40004</v>
      </c>
      <c r="I51" s="33"/>
      <c r="K51" s="92"/>
    </row>
    <row r="52" spans="1:11" x14ac:dyDescent="0.2">
      <c r="A52" s="32"/>
      <c r="B52" s="10"/>
      <c r="C52" s="4"/>
      <c r="D52" s="11"/>
      <c r="E52" s="11"/>
      <c r="F52" s="40"/>
      <c r="G52" s="41" t="s">
        <v>68</v>
      </c>
      <c r="H52" s="72">
        <f>(H22+H28+(H42*H10))</f>
        <v>36080.625536476618</v>
      </c>
      <c r="I52" s="33"/>
    </row>
    <row r="53" spans="1:11" x14ac:dyDescent="0.2">
      <c r="A53" s="37"/>
      <c r="B53" s="38"/>
      <c r="C53" s="38"/>
      <c r="D53" s="38"/>
      <c r="E53" s="38"/>
      <c r="F53" s="38"/>
      <c r="G53" s="38"/>
      <c r="H53" s="38"/>
      <c r="I53" s="39"/>
    </row>
  </sheetData>
  <mergeCells count="2">
    <mergeCell ref="A7:I7"/>
    <mergeCell ref="B11:C11"/>
  </mergeCells>
  <pageMargins left="0.7" right="0.7" top="0.75" bottom="0.75" header="0.3" footer="0.3"/>
  <pageSetup scale="9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D674BC-8BFD-4347-A657-3F240AB96BA7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54"/>
  <sheetViews>
    <sheetView view="pageBreakPreview" zoomScaleNormal="100" zoomScaleSheetLayoutView="100" workbookViewId="0">
      <selection activeCell="C17" sqref="C17:H1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174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3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ht="11.25" customHeight="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ht="11.25" customHeight="1" x14ac:dyDescent="0.2">
      <c r="A11" s="35"/>
      <c r="B11" s="208" t="s">
        <v>175</v>
      </c>
      <c r="C11" s="208"/>
      <c r="D11" s="5"/>
      <c r="E11" s="23"/>
      <c r="F11" s="24"/>
      <c r="G11" s="23"/>
      <c r="H11" s="85"/>
      <c r="I11" s="36"/>
    </row>
    <row r="12" spans="1:11" ht="11.25" customHeight="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x14ac:dyDescent="0.2">
      <c r="A15" s="34"/>
      <c r="B15" s="7"/>
      <c r="C15" s="83" t="s">
        <v>168</v>
      </c>
      <c r="D15" s="56" t="s">
        <v>107</v>
      </c>
      <c r="E15" s="55">
        <f>1/150</f>
        <v>6.6666666666666671E-3</v>
      </c>
      <c r="F15" s="20">
        <v>0</v>
      </c>
      <c r="G15" s="60">
        <f>280*$F$9</f>
        <v>250549.6</v>
      </c>
      <c r="H15" s="58">
        <f>E15*(1+F15)*G15</f>
        <v>1670.3306666666667</v>
      </c>
      <c r="I15" s="36"/>
    </row>
    <row r="16" spans="1:11" x14ac:dyDescent="0.2">
      <c r="A16" s="34"/>
      <c r="B16" s="7"/>
      <c r="C16" s="83" t="s">
        <v>169</v>
      </c>
      <c r="D16" s="56" t="s">
        <v>107</v>
      </c>
      <c r="E16" s="55">
        <f>1/150</f>
        <v>6.6666666666666671E-3</v>
      </c>
      <c r="F16" s="20">
        <v>0</v>
      </c>
      <c r="G16" s="60">
        <v>235000</v>
      </c>
      <c r="H16" s="58">
        <f t="shared" ref="H16:H18" si="0">E16*(1+F16)*G16</f>
        <v>1566.6666666666667</v>
      </c>
      <c r="I16" s="36"/>
    </row>
    <row r="17" spans="1:13" x14ac:dyDescent="0.2">
      <c r="A17" s="34"/>
      <c r="B17" s="7"/>
      <c r="C17" s="83" t="s">
        <v>176</v>
      </c>
      <c r="D17" s="56" t="s">
        <v>107</v>
      </c>
      <c r="E17" s="55">
        <f t="shared" ref="E17:E20" si="1">1/150</f>
        <v>6.6666666666666671E-3</v>
      </c>
      <c r="F17" s="20">
        <v>0</v>
      </c>
      <c r="G17" s="60">
        <f>1200*F9</f>
        <v>1073784</v>
      </c>
      <c r="H17" s="58">
        <f t="shared" si="0"/>
        <v>7158.56</v>
      </c>
      <c r="I17" s="36"/>
    </row>
    <row r="18" spans="1:13" x14ac:dyDescent="0.2">
      <c r="A18" s="34"/>
      <c r="B18" s="7"/>
      <c r="C18" s="83" t="s">
        <v>171</v>
      </c>
      <c r="D18" s="56" t="s">
        <v>107</v>
      </c>
      <c r="E18" s="55">
        <f t="shared" si="1"/>
        <v>6.6666666666666671E-3</v>
      </c>
      <c r="F18" s="20">
        <v>0</v>
      </c>
      <c r="G18" s="60">
        <v>450000</v>
      </c>
      <c r="H18" s="58">
        <f t="shared" si="0"/>
        <v>3000</v>
      </c>
      <c r="I18" s="36"/>
    </row>
    <row r="19" spans="1:13" x14ac:dyDescent="0.2">
      <c r="A19" s="34"/>
      <c r="B19" s="7"/>
      <c r="C19" s="83" t="s">
        <v>177</v>
      </c>
      <c r="D19" s="20" t="s">
        <v>107</v>
      </c>
      <c r="E19" s="55">
        <f t="shared" si="1"/>
        <v>6.6666666666666671E-3</v>
      </c>
      <c r="F19" s="20">
        <v>0</v>
      </c>
      <c r="G19" s="60">
        <v>145000</v>
      </c>
      <c r="H19" s="58">
        <f t="shared" ref="H19:H21" si="2">E19*(1+F19)*G19</f>
        <v>966.66666666666674</v>
      </c>
      <c r="I19" s="36"/>
    </row>
    <row r="20" spans="1:13" x14ac:dyDescent="0.2">
      <c r="A20" s="34"/>
      <c r="B20" s="7"/>
      <c r="C20" s="83" t="s">
        <v>178</v>
      </c>
      <c r="D20" s="20" t="s">
        <v>107</v>
      </c>
      <c r="E20" s="55">
        <f t="shared" si="1"/>
        <v>6.6666666666666671E-3</v>
      </c>
      <c r="F20" s="20">
        <v>0</v>
      </c>
      <c r="G20" s="172">
        <v>168150</v>
      </c>
      <c r="H20" s="173">
        <f t="shared" si="2"/>
        <v>1121</v>
      </c>
      <c r="I20" s="36"/>
    </row>
    <row r="21" spans="1:13" x14ac:dyDescent="0.2">
      <c r="A21" s="34"/>
      <c r="B21" s="17"/>
      <c r="C21" s="83" t="s">
        <v>179</v>
      </c>
      <c r="D21" s="20" t="s">
        <v>107</v>
      </c>
      <c r="E21" s="55">
        <f>2/150</f>
        <v>1.3333333333333334E-2</v>
      </c>
      <c r="F21" s="20">
        <v>0</v>
      </c>
      <c r="G21" s="172">
        <v>168150</v>
      </c>
      <c r="H21" s="173">
        <f t="shared" si="2"/>
        <v>2242</v>
      </c>
      <c r="I21" s="36"/>
    </row>
    <row r="22" spans="1:13" x14ac:dyDescent="0.2">
      <c r="A22" s="34"/>
      <c r="B22" s="13"/>
      <c r="C22" s="14"/>
      <c r="D22" s="26"/>
      <c r="E22" s="26"/>
      <c r="F22" s="26"/>
      <c r="G22" s="29" t="s">
        <v>42</v>
      </c>
      <c r="H22" s="16">
        <f>SUM(H15:H21)</f>
        <v>17725.224000000002</v>
      </c>
      <c r="I22" s="36"/>
    </row>
    <row r="23" spans="1:13" x14ac:dyDescent="0.2">
      <c r="A23" s="34"/>
      <c r="B23" s="13"/>
      <c r="C23" s="14"/>
      <c r="D23" s="26"/>
      <c r="E23" s="26"/>
      <c r="F23" s="26"/>
      <c r="G23" s="29" t="s">
        <v>43</v>
      </c>
      <c r="H23" s="16">
        <f>H22</f>
        <v>17725.224000000002</v>
      </c>
      <c r="I23" s="36"/>
    </row>
    <row r="24" spans="1:13" x14ac:dyDescent="0.2">
      <c r="A24" s="35"/>
      <c r="B24" s="5"/>
      <c r="C24" s="5"/>
      <c r="D24" s="5"/>
      <c r="E24" s="5"/>
      <c r="F24" s="5"/>
      <c r="G24" s="5"/>
      <c r="H24" s="5"/>
      <c r="I24" s="36"/>
    </row>
    <row r="25" spans="1:13" x14ac:dyDescent="0.2">
      <c r="A25" s="32" t="s">
        <v>44</v>
      </c>
      <c r="B25" s="4"/>
      <c r="C25" s="4"/>
      <c r="D25" s="4"/>
      <c r="E25" s="4"/>
      <c r="F25" s="4"/>
      <c r="G25" s="4"/>
      <c r="H25" s="4"/>
      <c r="I25" s="33"/>
      <c r="M25" s="8"/>
    </row>
    <row r="26" spans="1:13" x14ac:dyDescent="0.2">
      <c r="A26" s="34"/>
      <c r="B26" s="7" t="s">
        <v>27</v>
      </c>
      <c r="C26" s="7" t="s">
        <v>28</v>
      </c>
      <c r="D26" s="7" t="s">
        <v>11</v>
      </c>
      <c r="E26" s="7" t="s">
        <v>29</v>
      </c>
      <c r="F26" s="7" t="s">
        <v>31</v>
      </c>
      <c r="G26" s="7" t="s">
        <v>45</v>
      </c>
      <c r="H26" s="7" t="s">
        <v>46</v>
      </c>
      <c r="I26" s="33"/>
    </row>
    <row r="27" spans="1:13" x14ac:dyDescent="0.2">
      <c r="A27" s="34"/>
      <c r="B27" s="17"/>
      <c r="C27" s="53" t="s">
        <v>127</v>
      </c>
      <c r="D27" s="21" t="s">
        <v>128</v>
      </c>
      <c r="E27" s="21">
        <v>1</v>
      </c>
      <c r="F27" s="21">
        <f>0.05*H23</f>
        <v>886.26120000000014</v>
      </c>
      <c r="G27" s="21"/>
      <c r="H27" s="22">
        <f>E27*F27</f>
        <v>886.26120000000014</v>
      </c>
      <c r="I27" s="33"/>
      <c r="K27" s="9"/>
    </row>
    <row r="28" spans="1:13" x14ac:dyDescent="0.2">
      <c r="A28" s="34"/>
      <c r="B28" s="13"/>
      <c r="C28" s="14"/>
      <c r="D28" s="15"/>
      <c r="E28" s="15"/>
      <c r="F28" s="15"/>
      <c r="G28" s="30" t="s">
        <v>49</v>
      </c>
      <c r="H28" s="27">
        <f>SUM(H27)</f>
        <v>886.26120000000014</v>
      </c>
      <c r="I28" s="33"/>
      <c r="K28" s="9"/>
    </row>
    <row r="29" spans="1:13" x14ac:dyDescent="0.2">
      <c r="A29" s="34"/>
      <c r="B29" s="13"/>
      <c r="C29" s="14"/>
      <c r="D29" s="15"/>
      <c r="E29" s="15"/>
      <c r="F29" s="15"/>
      <c r="G29" s="30" t="s">
        <v>50</v>
      </c>
      <c r="H29" s="27">
        <f>H28/$H$8</f>
        <v>295.42040000000003</v>
      </c>
      <c r="I29" s="33"/>
      <c r="K29" s="9"/>
    </row>
    <row r="30" spans="1:13" x14ac:dyDescent="0.2">
      <c r="A30" s="32"/>
      <c r="B30" s="10"/>
      <c r="C30" s="4"/>
      <c r="D30" s="11"/>
      <c r="E30" s="11"/>
      <c r="F30" s="11"/>
      <c r="G30" s="11"/>
      <c r="H30" s="12"/>
      <c r="I30" s="33"/>
      <c r="K30" s="9"/>
    </row>
    <row r="31" spans="1:13" x14ac:dyDescent="0.2">
      <c r="A31" s="32" t="s">
        <v>51</v>
      </c>
      <c r="B31" s="10"/>
      <c r="C31" s="4"/>
      <c r="D31" s="11"/>
      <c r="E31" s="11"/>
      <c r="F31" s="11"/>
      <c r="G31" s="11"/>
      <c r="H31" s="12"/>
      <c r="I31" s="33"/>
      <c r="K31" s="9"/>
    </row>
    <row r="32" spans="1:13" x14ac:dyDescent="0.2">
      <c r="A32" s="32"/>
      <c r="B32" s="7" t="s">
        <v>27</v>
      </c>
      <c r="C32" s="7" t="s">
        <v>28</v>
      </c>
      <c r="D32" s="7" t="s">
        <v>11</v>
      </c>
      <c r="E32" s="7" t="s">
        <v>29</v>
      </c>
      <c r="F32" s="7" t="s">
        <v>52</v>
      </c>
      <c r="G32" s="7"/>
      <c r="H32" s="7" t="s">
        <v>46</v>
      </c>
      <c r="I32" s="33"/>
    </row>
    <row r="33" spans="1:9" x14ac:dyDescent="0.2">
      <c r="A33" s="32"/>
      <c r="B33" s="7"/>
      <c r="C33" s="53" t="s">
        <v>117</v>
      </c>
      <c r="D33" s="21" t="s">
        <v>54</v>
      </c>
      <c r="E33" s="54">
        <v>0.25</v>
      </c>
      <c r="F33" s="81">
        <v>40000</v>
      </c>
      <c r="G33" s="7"/>
      <c r="H33" s="87">
        <f>E33*F33</f>
        <v>10000</v>
      </c>
      <c r="I33" s="33"/>
    </row>
    <row r="34" spans="1:9" x14ac:dyDescent="0.2">
      <c r="A34" s="32"/>
      <c r="B34" s="17"/>
      <c r="C34" s="53" t="s">
        <v>91</v>
      </c>
      <c r="D34" s="21" t="s">
        <v>54</v>
      </c>
      <c r="E34" s="54">
        <v>1</v>
      </c>
      <c r="F34" s="81">
        <v>35000</v>
      </c>
      <c r="G34" s="21"/>
      <c r="H34" s="87">
        <f t="shared" ref="H34:H35" si="3">E34*F34</f>
        <v>35000</v>
      </c>
      <c r="I34" s="33"/>
    </row>
    <row r="35" spans="1:9" x14ac:dyDescent="0.2">
      <c r="A35" s="32"/>
      <c r="B35" s="17"/>
      <c r="C35" s="53" t="s">
        <v>57</v>
      </c>
      <c r="D35" s="21" t="s">
        <v>54</v>
      </c>
      <c r="E35" s="54">
        <v>2</v>
      </c>
      <c r="F35" s="18">
        <v>25000</v>
      </c>
      <c r="G35" s="21"/>
      <c r="H35" s="87">
        <f t="shared" si="3"/>
        <v>50000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58</v>
      </c>
      <c r="H36" s="88">
        <f>SUM(H33:H35)</f>
        <v>95000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59</v>
      </c>
      <c r="H38" s="63">
        <f>H36</f>
        <v>95000</v>
      </c>
      <c r="I38" s="33"/>
    </row>
    <row r="39" spans="1:9" x14ac:dyDescent="0.2">
      <c r="A39" s="32"/>
      <c r="B39" s="10"/>
      <c r="C39" s="4"/>
      <c r="D39" s="11"/>
      <c r="E39" s="69">
        <v>0.56999999999999995</v>
      </c>
      <c r="F39" s="11"/>
      <c r="G39" s="30" t="s">
        <v>60</v>
      </c>
      <c r="H39" s="70">
        <f>H38*E39</f>
        <v>54149.999999999993</v>
      </c>
      <c r="I39" s="33"/>
    </row>
    <row r="40" spans="1:9" x14ac:dyDescent="0.2">
      <c r="A40" s="32"/>
      <c r="B40" s="10"/>
      <c r="C40" s="4"/>
      <c r="D40" s="11"/>
      <c r="E40" s="69">
        <v>0</v>
      </c>
      <c r="F40" s="11"/>
      <c r="G40" s="30" t="s">
        <v>61</v>
      </c>
      <c r="H40" s="63">
        <f>H38*E40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58</v>
      </c>
      <c r="H42" s="63">
        <f>H38+H39+H40</f>
        <v>149150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0" t="s">
        <v>62</v>
      </c>
      <c r="H43" s="71">
        <f>H42/$H$8</f>
        <v>49716.666666666664</v>
      </c>
      <c r="I43" s="33"/>
    </row>
    <row r="44" spans="1:9" x14ac:dyDescent="0.2">
      <c r="A44" s="32"/>
      <c r="B44" s="10"/>
      <c r="C44" s="4"/>
      <c r="D44" s="11"/>
      <c r="E44" s="11"/>
      <c r="F44" s="11"/>
      <c r="G44" s="31"/>
      <c r="H44" s="12"/>
      <c r="I44" s="33"/>
    </row>
    <row r="45" spans="1:9" x14ac:dyDescent="0.2">
      <c r="A45" s="32"/>
      <c r="B45" s="10"/>
      <c r="C45" s="4"/>
      <c r="D45" s="11"/>
      <c r="E45" s="11"/>
      <c r="F45" s="11"/>
      <c r="G45" s="30" t="s">
        <v>63</v>
      </c>
      <c r="H45" s="63">
        <f>H23+H29+H43</f>
        <v>67737.311066666662</v>
      </c>
      <c r="I45" s="33"/>
    </row>
    <row r="46" spans="1:9" x14ac:dyDescent="0.2">
      <c r="A46" s="32"/>
      <c r="B46" s="10"/>
      <c r="C46" s="4"/>
      <c r="D46" s="11"/>
      <c r="E46" s="11"/>
      <c r="F46" s="11"/>
      <c r="G46" s="11"/>
      <c r="H46" s="63"/>
      <c r="I46" s="33"/>
    </row>
    <row r="47" spans="1:9" x14ac:dyDescent="0.2">
      <c r="A47" s="32"/>
      <c r="B47" s="10"/>
      <c r="C47" s="4"/>
      <c r="D47" s="69">
        <v>0</v>
      </c>
      <c r="E47" s="11"/>
      <c r="F47" s="11"/>
      <c r="G47" s="28" t="s">
        <v>64</v>
      </c>
      <c r="H47" s="63">
        <f>D47*H45</f>
        <v>0</v>
      </c>
      <c r="I47" s="33"/>
    </row>
    <row r="48" spans="1:9" x14ac:dyDescent="0.2">
      <c r="A48" s="32"/>
      <c r="B48" s="10"/>
      <c r="C48" s="4"/>
      <c r="D48" s="11"/>
      <c r="E48" s="11"/>
      <c r="F48" s="11"/>
      <c r="G48" s="28" t="s">
        <v>65</v>
      </c>
      <c r="H48" s="63">
        <f>H45+H47</f>
        <v>67737.311066666662</v>
      </c>
      <c r="I48" s="33"/>
    </row>
    <row r="49" spans="1:11" x14ac:dyDescent="0.2">
      <c r="A49" s="32"/>
      <c r="B49" s="10"/>
      <c r="C49" s="4"/>
      <c r="D49" s="69">
        <v>0</v>
      </c>
      <c r="E49" s="11"/>
      <c r="F49" s="11"/>
      <c r="G49" s="28" t="s">
        <v>66</v>
      </c>
      <c r="H49" s="63">
        <f>D49*H48</f>
        <v>0</v>
      </c>
      <c r="I49" s="33"/>
    </row>
    <row r="50" spans="1:11" x14ac:dyDescent="0.2">
      <c r="A50" s="32"/>
      <c r="B50" s="10"/>
      <c r="C50" s="4"/>
      <c r="D50" s="11"/>
      <c r="E50" s="11"/>
      <c r="F50" s="11"/>
      <c r="G50" s="11"/>
      <c r="H50" s="12"/>
      <c r="I50" s="33"/>
    </row>
    <row r="51" spans="1:11" x14ac:dyDescent="0.2">
      <c r="A51" s="32"/>
      <c r="B51" s="10"/>
      <c r="C51" s="4"/>
      <c r="D51" s="11"/>
      <c r="E51" s="11"/>
      <c r="F51" s="11"/>
      <c r="H51" s="12"/>
      <c r="I51" s="33"/>
    </row>
    <row r="52" spans="1:11" x14ac:dyDescent="0.2">
      <c r="A52" s="32"/>
      <c r="B52" s="10"/>
      <c r="C52" s="4"/>
      <c r="D52" s="11"/>
      <c r="E52" s="11"/>
      <c r="F52" s="40"/>
      <c r="G52" s="41" t="s">
        <v>67</v>
      </c>
      <c r="H52" s="72">
        <f>H48+H49</f>
        <v>67737.311066666662</v>
      </c>
      <c r="I52" s="33"/>
      <c r="K52" s="92"/>
    </row>
    <row r="53" spans="1:11" x14ac:dyDescent="0.2">
      <c r="A53" s="32"/>
      <c r="B53" s="10"/>
      <c r="C53" s="4"/>
      <c r="D53" s="11"/>
      <c r="E53" s="11"/>
      <c r="F53" s="40"/>
      <c r="G53" s="41" t="s">
        <v>68</v>
      </c>
      <c r="H53" s="72">
        <f>(H23+H29+(H43*H10))</f>
        <v>53207.686894127692</v>
      </c>
      <c r="I53" s="33"/>
      <c r="K53" s="92"/>
    </row>
    <row r="54" spans="1:11" x14ac:dyDescent="0.2">
      <c r="A54" s="37"/>
      <c r="B54" s="38"/>
      <c r="C54" s="38"/>
      <c r="D54" s="38"/>
      <c r="E54" s="38"/>
      <c r="F54" s="38"/>
      <c r="G54" s="38"/>
      <c r="H54" s="38"/>
      <c r="I54" s="39"/>
    </row>
  </sheetData>
  <mergeCells count="2">
    <mergeCell ref="A7:I7"/>
    <mergeCell ref="B11:C11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226B4A-11A3-4432-BC4F-77B6C5AA8D89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6" t="s">
        <v>21</v>
      </c>
      <c r="B7" s="203"/>
      <c r="C7" s="203"/>
      <c r="D7" s="203"/>
      <c r="E7" s="203"/>
      <c r="F7" s="203"/>
      <c r="G7" s="203"/>
      <c r="H7" s="203"/>
      <c r="I7" s="207"/>
    </row>
    <row r="8" spans="1:11" x14ac:dyDescent="0.2">
      <c r="A8" s="64"/>
      <c r="B8" s="4"/>
      <c r="C8" s="4"/>
      <c r="D8" s="5"/>
      <c r="E8" s="23" t="s">
        <v>22</v>
      </c>
      <c r="F8" s="24" t="s">
        <v>23</v>
      </c>
      <c r="G8" s="23" t="s">
        <v>24</v>
      </c>
      <c r="H8" s="25">
        <v>4</v>
      </c>
      <c r="I8" s="65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64"/>
      <c r="B11" s="84" t="s">
        <v>25</v>
      </c>
      <c r="C11" s="4"/>
      <c r="D11" s="5"/>
      <c r="E11" s="23"/>
      <c r="F11" s="24"/>
      <c r="G11" s="23"/>
      <c r="H11" s="25"/>
      <c r="I11" s="65"/>
    </row>
    <row r="12" spans="1:11" x14ac:dyDescent="0.2">
      <c r="A12" s="64"/>
      <c r="B12" s="5"/>
      <c r="C12" s="140"/>
      <c r="D12" s="5"/>
      <c r="E12" s="5"/>
      <c r="F12" s="5"/>
      <c r="G12" s="5"/>
      <c r="H12" s="5"/>
      <c r="I12" s="65"/>
    </row>
    <row r="13" spans="1:11" x14ac:dyDescent="0.2">
      <c r="A13" s="66" t="s">
        <v>26</v>
      </c>
      <c r="B13" s="4"/>
      <c r="C13" s="4"/>
      <c r="D13" s="4"/>
      <c r="E13" s="4"/>
      <c r="F13" s="4"/>
      <c r="G13" s="4"/>
      <c r="H13" s="4"/>
      <c r="I13" s="65"/>
      <c r="J13" s="6"/>
    </row>
    <row r="14" spans="1:11" x14ac:dyDescent="0.2">
      <c r="A14" s="67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65"/>
      <c r="J14" s="122"/>
    </row>
    <row r="15" spans="1:11" s="108" customFormat="1" x14ac:dyDescent="0.2">
      <c r="A15" s="101"/>
      <c r="B15" s="102"/>
      <c r="C15" s="103" t="s">
        <v>33</v>
      </c>
      <c r="D15" s="102" t="s">
        <v>34</v>
      </c>
      <c r="E15" s="104">
        <v>1.3</v>
      </c>
      <c r="F15" s="102">
        <v>0.05</v>
      </c>
      <c r="G15" s="105">
        <v>19200</v>
      </c>
      <c r="H15" s="106">
        <f>E15*(1+F15)*G15</f>
        <v>26208.000000000004</v>
      </c>
      <c r="I15" s="107"/>
      <c r="J15" s="121"/>
      <c r="K15" s="185"/>
    </row>
    <row r="16" spans="1:11" x14ac:dyDescent="0.2">
      <c r="A16" s="67"/>
      <c r="B16" s="56"/>
      <c r="C16" s="57" t="s">
        <v>35</v>
      </c>
      <c r="D16" s="56" t="s">
        <v>36</v>
      </c>
      <c r="E16" s="61">
        <v>0.6</v>
      </c>
      <c r="F16" s="56">
        <v>0</v>
      </c>
      <c r="G16" s="60">
        <v>1190</v>
      </c>
      <c r="H16" s="58">
        <f t="shared" ref="H16:H21" si="0">E16*(1+F16)*G16</f>
        <v>714</v>
      </c>
      <c r="I16" s="65"/>
    </row>
    <row r="17" spans="1:13" x14ac:dyDescent="0.2">
      <c r="A17" s="67"/>
      <c r="B17" s="56"/>
      <c r="C17" s="57" t="s">
        <v>37</v>
      </c>
      <c r="D17" s="56" t="s">
        <v>36</v>
      </c>
      <c r="E17" s="61">
        <v>5</v>
      </c>
      <c r="F17" s="56">
        <v>0</v>
      </c>
      <c r="G17" s="60">
        <v>1300</v>
      </c>
      <c r="H17" s="58">
        <f t="shared" si="0"/>
        <v>6500</v>
      </c>
      <c r="I17" s="65"/>
    </row>
    <row r="18" spans="1:13" x14ac:dyDescent="0.2">
      <c r="A18" s="67"/>
      <c r="B18" s="56"/>
      <c r="C18" s="57" t="s">
        <v>38</v>
      </c>
      <c r="D18" s="56" t="s">
        <v>36</v>
      </c>
      <c r="E18" s="61">
        <v>3.7</v>
      </c>
      <c r="F18" s="56">
        <v>0</v>
      </c>
      <c r="G18" s="60">
        <v>740</v>
      </c>
      <c r="H18" s="58">
        <f t="shared" si="0"/>
        <v>2738</v>
      </c>
      <c r="I18" s="65"/>
    </row>
    <row r="19" spans="1:13" x14ac:dyDescent="0.2">
      <c r="A19" s="67"/>
      <c r="B19" s="56"/>
      <c r="C19" s="57" t="s">
        <v>39</v>
      </c>
      <c r="D19" s="56" t="s">
        <v>36</v>
      </c>
      <c r="E19" s="61">
        <v>2.5</v>
      </c>
      <c r="F19" s="56">
        <v>0</v>
      </c>
      <c r="G19" s="60">
        <v>740</v>
      </c>
      <c r="H19" s="58">
        <f t="shared" si="0"/>
        <v>1850</v>
      </c>
      <c r="I19" s="65"/>
    </row>
    <row r="20" spans="1:13" x14ac:dyDescent="0.2">
      <c r="A20" s="67"/>
      <c r="B20" s="56"/>
      <c r="C20" s="57" t="s">
        <v>40</v>
      </c>
      <c r="D20" s="56" t="s">
        <v>36</v>
      </c>
      <c r="E20" s="61">
        <v>0.6</v>
      </c>
      <c r="F20" s="56">
        <v>0</v>
      </c>
      <c r="G20" s="60">
        <v>1000</v>
      </c>
      <c r="H20" s="58">
        <f t="shared" si="0"/>
        <v>600</v>
      </c>
      <c r="I20" s="65"/>
    </row>
    <row r="21" spans="1:13" x14ac:dyDescent="0.2">
      <c r="A21" s="67"/>
      <c r="B21" s="17"/>
      <c r="C21" s="57" t="s">
        <v>41</v>
      </c>
      <c r="D21" s="56" t="s">
        <v>36</v>
      </c>
      <c r="E21" s="61">
        <v>3.8</v>
      </c>
      <c r="F21" s="20">
        <v>0</v>
      </c>
      <c r="G21" s="60">
        <v>170</v>
      </c>
      <c r="H21" s="58">
        <f t="shared" si="0"/>
        <v>646</v>
      </c>
      <c r="I21" s="65"/>
    </row>
    <row r="22" spans="1:13" x14ac:dyDescent="0.2">
      <c r="A22" s="67"/>
      <c r="B22" s="13"/>
      <c r="C22" s="14"/>
      <c r="D22" s="26"/>
      <c r="E22" s="26"/>
      <c r="F22" s="26"/>
      <c r="G22" s="29" t="s">
        <v>42</v>
      </c>
      <c r="H22" s="16">
        <f>SUM(H15:H21)</f>
        <v>39256</v>
      </c>
      <c r="I22" s="65"/>
    </row>
    <row r="23" spans="1:13" x14ac:dyDescent="0.2">
      <c r="A23" s="67"/>
      <c r="B23" s="13"/>
      <c r="C23" s="14"/>
      <c r="D23" s="26"/>
      <c r="E23" s="26"/>
      <c r="F23" s="26"/>
      <c r="G23" s="29" t="s">
        <v>43</v>
      </c>
      <c r="H23" s="16">
        <f>H22</f>
        <v>39256</v>
      </c>
      <c r="I23" s="65"/>
    </row>
    <row r="24" spans="1:13" x14ac:dyDescent="0.2">
      <c r="A24" s="64"/>
      <c r="B24" s="5"/>
      <c r="C24" s="5"/>
      <c r="D24" s="5"/>
      <c r="E24" s="5"/>
      <c r="F24" s="5"/>
      <c r="G24" s="5"/>
      <c r="H24" s="5"/>
      <c r="I24" s="65"/>
    </row>
    <row r="25" spans="1:13" x14ac:dyDescent="0.2">
      <c r="A25" s="66" t="s">
        <v>44</v>
      </c>
      <c r="B25" s="4"/>
      <c r="C25" s="4"/>
      <c r="D25" s="4"/>
      <c r="E25" s="4"/>
      <c r="F25" s="4"/>
      <c r="G25" s="4"/>
      <c r="H25" s="4"/>
      <c r="I25" s="68"/>
      <c r="M25" s="8"/>
    </row>
    <row r="26" spans="1:13" x14ac:dyDescent="0.2">
      <c r="A26" s="67"/>
      <c r="B26" s="7" t="s">
        <v>27</v>
      </c>
      <c r="C26" s="7" t="s">
        <v>28</v>
      </c>
      <c r="D26" s="7" t="s">
        <v>11</v>
      </c>
      <c r="E26" s="7" t="s">
        <v>29</v>
      </c>
      <c r="F26" s="7" t="s">
        <v>31</v>
      </c>
      <c r="G26" s="7" t="s">
        <v>45</v>
      </c>
      <c r="H26" s="7" t="s">
        <v>46</v>
      </c>
      <c r="I26" s="68"/>
    </row>
    <row r="27" spans="1:13" x14ac:dyDescent="0.2">
      <c r="A27" s="67"/>
      <c r="B27" s="17"/>
      <c r="C27" s="53" t="s">
        <v>47</v>
      </c>
      <c r="D27" s="21" t="s">
        <v>48</v>
      </c>
      <c r="E27" s="21">
        <v>1</v>
      </c>
      <c r="F27" s="21">
        <f>H22*0.01</f>
        <v>392.56</v>
      </c>
      <c r="G27" s="21">
        <v>1</v>
      </c>
      <c r="H27" s="22">
        <f>F27*E27*G27</f>
        <v>392.56</v>
      </c>
      <c r="I27" s="68"/>
      <c r="K27" s="9"/>
    </row>
    <row r="28" spans="1:13" x14ac:dyDescent="0.2">
      <c r="A28" s="67"/>
      <c r="B28" s="13"/>
      <c r="C28" s="14"/>
      <c r="D28" s="15"/>
      <c r="E28" s="15"/>
      <c r="F28" s="15"/>
      <c r="G28" s="30" t="s">
        <v>49</v>
      </c>
      <c r="H28" s="27">
        <f>SUM(H27)</f>
        <v>392.56</v>
      </c>
      <c r="I28" s="68"/>
      <c r="K28" s="9"/>
    </row>
    <row r="29" spans="1:13" x14ac:dyDescent="0.2">
      <c r="A29" s="67"/>
      <c r="B29" s="13"/>
      <c r="C29" s="14"/>
      <c r="D29" s="15"/>
      <c r="E29" s="15"/>
      <c r="F29" s="15"/>
      <c r="G29" s="30" t="s">
        <v>50</v>
      </c>
      <c r="H29" s="27">
        <f>H28/$H$8</f>
        <v>98.14</v>
      </c>
      <c r="I29" s="68"/>
      <c r="K29" s="9"/>
    </row>
    <row r="30" spans="1:13" x14ac:dyDescent="0.2">
      <c r="A30" s="66"/>
      <c r="B30" s="10"/>
      <c r="C30" s="4"/>
      <c r="D30" s="11"/>
      <c r="E30" s="11"/>
      <c r="F30" s="11"/>
      <c r="G30" s="11"/>
      <c r="H30" s="12"/>
      <c r="I30" s="68"/>
    </row>
    <row r="31" spans="1:13" x14ac:dyDescent="0.2">
      <c r="A31" s="66" t="s">
        <v>51</v>
      </c>
      <c r="B31" s="10"/>
      <c r="C31" s="4"/>
      <c r="D31" s="11"/>
      <c r="E31" s="11"/>
      <c r="F31" s="11"/>
      <c r="G31" s="11"/>
      <c r="H31" s="12"/>
      <c r="I31" s="68"/>
    </row>
    <row r="32" spans="1:13" x14ac:dyDescent="0.2">
      <c r="A32" s="66"/>
      <c r="B32" s="7" t="s">
        <v>27</v>
      </c>
      <c r="C32" s="7" t="s">
        <v>28</v>
      </c>
      <c r="D32" s="7" t="s">
        <v>11</v>
      </c>
      <c r="E32" s="7" t="s">
        <v>29</v>
      </c>
      <c r="F32" s="7" t="s">
        <v>52</v>
      </c>
      <c r="G32" s="7"/>
      <c r="H32" s="7" t="s">
        <v>46</v>
      </c>
      <c r="I32" s="68"/>
    </row>
    <row r="33" spans="1:9" x14ac:dyDescent="0.2">
      <c r="A33" s="66"/>
      <c r="B33" s="17"/>
      <c r="C33" s="53" t="s">
        <v>53</v>
      </c>
      <c r="D33" s="21" t="s">
        <v>54</v>
      </c>
      <c r="E33" s="20">
        <v>0.25</v>
      </c>
      <c r="F33" s="18">
        <v>35000</v>
      </c>
      <c r="G33" s="21"/>
      <c r="H33" s="18">
        <f>E33*F33</f>
        <v>8750</v>
      </c>
      <c r="I33" s="68"/>
    </row>
    <row r="34" spans="1:9" x14ac:dyDescent="0.2">
      <c r="A34" s="66"/>
      <c r="B34" s="17"/>
      <c r="C34" s="53" t="s">
        <v>55</v>
      </c>
      <c r="D34" s="21" t="s">
        <v>54</v>
      </c>
      <c r="E34" s="20">
        <v>1</v>
      </c>
      <c r="F34" s="18">
        <v>30000</v>
      </c>
      <c r="G34" s="62"/>
      <c r="H34" s="18">
        <f>E34*F34</f>
        <v>30000</v>
      </c>
      <c r="I34" s="68"/>
    </row>
    <row r="35" spans="1:9" x14ac:dyDescent="0.2">
      <c r="A35" s="66"/>
      <c r="B35" s="17"/>
      <c r="C35" s="53" t="s">
        <v>56</v>
      </c>
      <c r="D35" s="21" t="s">
        <v>54</v>
      </c>
      <c r="E35" s="20">
        <v>1</v>
      </c>
      <c r="F35" s="18">
        <v>27500</v>
      </c>
      <c r="G35" s="62"/>
      <c r="H35" s="18">
        <f>E35*F35</f>
        <v>27500</v>
      </c>
      <c r="I35" s="68"/>
    </row>
    <row r="36" spans="1:9" x14ac:dyDescent="0.2">
      <c r="A36" s="66"/>
      <c r="B36" s="17"/>
      <c r="C36" s="53" t="s">
        <v>57</v>
      </c>
      <c r="D36" s="21" t="s">
        <v>54</v>
      </c>
      <c r="E36" s="20">
        <v>1</v>
      </c>
      <c r="F36" s="18">
        <v>25000</v>
      </c>
      <c r="G36" s="62"/>
      <c r="H36" s="18">
        <f t="shared" ref="H36" si="1">E36*F36</f>
        <v>25000</v>
      </c>
      <c r="I36" s="68"/>
    </row>
    <row r="37" spans="1:9" x14ac:dyDescent="0.2">
      <c r="A37" s="66"/>
      <c r="B37" s="10"/>
      <c r="C37" s="4"/>
      <c r="D37" s="11"/>
      <c r="E37" s="11"/>
      <c r="F37" s="11"/>
      <c r="G37" s="30" t="s">
        <v>58</v>
      </c>
      <c r="H37" s="63">
        <f>SUM(H33:H36)</f>
        <v>91250</v>
      </c>
      <c r="I37" s="68"/>
    </row>
    <row r="38" spans="1:9" x14ac:dyDescent="0.2">
      <c r="A38" s="66"/>
      <c r="B38" s="10"/>
      <c r="C38" s="4"/>
      <c r="D38" s="11"/>
      <c r="E38" s="11"/>
      <c r="F38" s="11"/>
      <c r="G38" s="31"/>
      <c r="H38" s="12"/>
      <c r="I38" s="68"/>
    </row>
    <row r="39" spans="1:9" x14ac:dyDescent="0.2">
      <c r="A39" s="66"/>
      <c r="B39" s="10"/>
      <c r="C39" s="4"/>
      <c r="D39" s="11"/>
      <c r="E39" s="11"/>
      <c r="F39" s="11"/>
      <c r="G39" s="30" t="s">
        <v>59</v>
      </c>
      <c r="H39" s="63">
        <f>H37</f>
        <v>91250</v>
      </c>
      <c r="I39" s="68"/>
    </row>
    <row r="40" spans="1:9" x14ac:dyDescent="0.2">
      <c r="A40" s="66"/>
      <c r="B40" s="10"/>
      <c r="C40" s="4"/>
      <c r="D40" s="11"/>
      <c r="E40" s="69">
        <v>0.56999999999999995</v>
      </c>
      <c r="F40" s="11"/>
      <c r="G40" s="30" t="s">
        <v>60</v>
      </c>
      <c r="H40" s="70">
        <f>H39*E40</f>
        <v>52012.499999999993</v>
      </c>
      <c r="I40" s="68"/>
    </row>
    <row r="41" spans="1:9" x14ac:dyDescent="0.2">
      <c r="A41" s="66"/>
      <c r="B41" s="10"/>
      <c r="C41" s="4"/>
      <c r="D41" s="11"/>
      <c r="E41" s="69">
        <v>0</v>
      </c>
      <c r="F41" s="11"/>
      <c r="G41" s="30" t="s">
        <v>61</v>
      </c>
      <c r="H41" s="63">
        <f>H39*E41</f>
        <v>0</v>
      </c>
      <c r="I41" s="68"/>
    </row>
    <row r="42" spans="1:9" x14ac:dyDescent="0.2">
      <c r="A42" s="66"/>
      <c r="B42" s="10"/>
      <c r="C42" s="4"/>
      <c r="D42" s="11"/>
      <c r="E42" s="11"/>
      <c r="F42" s="11"/>
      <c r="G42" s="31"/>
      <c r="H42" s="12"/>
      <c r="I42" s="68"/>
    </row>
    <row r="43" spans="1:9" x14ac:dyDescent="0.2">
      <c r="A43" s="66"/>
      <c r="B43" s="10"/>
      <c r="C43" s="4"/>
      <c r="D43" s="11"/>
      <c r="E43" s="11"/>
      <c r="F43" s="11"/>
      <c r="G43" s="30" t="s">
        <v>58</v>
      </c>
      <c r="H43" s="63">
        <f>H39+H40+H41</f>
        <v>143262.5</v>
      </c>
      <c r="I43" s="68"/>
    </row>
    <row r="44" spans="1:9" x14ac:dyDescent="0.2">
      <c r="A44" s="66"/>
      <c r="B44" s="10"/>
      <c r="C44" s="4"/>
      <c r="D44" s="11"/>
      <c r="E44" s="11"/>
      <c r="F44" s="11"/>
      <c r="G44" s="30" t="s">
        <v>62</v>
      </c>
      <c r="H44" s="71">
        <f>H43/$H$8</f>
        <v>35815.625</v>
      </c>
      <c r="I44" s="68"/>
    </row>
    <row r="45" spans="1:9" x14ac:dyDescent="0.2">
      <c r="A45" s="66"/>
      <c r="B45" s="10"/>
      <c r="C45" s="4"/>
      <c r="D45" s="11"/>
      <c r="E45" s="11"/>
      <c r="F45" s="11"/>
      <c r="G45" s="31"/>
      <c r="H45" s="12"/>
      <c r="I45" s="68"/>
    </row>
    <row r="46" spans="1:9" x14ac:dyDescent="0.2">
      <c r="A46" s="66"/>
      <c r="B46" s="10"/>
      <c r="C46" s="4"/>
      <c r="D46" s="11"/>
      <c r="E46" s="11"/>
      <c r="F46" s="11"/>
      <c r="G46" s="30" t="s">
        <v>63</v>
      </c>
      <c r="H46" s="63">
        <f>H23+H29+H44</f>
        <v>75169.764999999999</v>
      </c>
      <c r="I46" s="68"/>
    </row>
    <row r="47" spans="1:9" x14ac:dyDescent="0.2">
      <c r="A47" s="66"/>
      <c r="B47" s="10"/>
      <c r="C47" s="4"/>
      <c r="D47" s="11"/>
      <c r="E47" s="11"/>
      <c r="F47" s="11"/>
      <c r="G47" s="11"/>
      <c r="H47" s="63"/>
      <c r="I47" s="68"/>
    </row>
    <row r="48" spans="1:9" x14ac:dyDescent="0.2">
      <c r="A48" s="66"/>
      <c r="B48" s="10"/>
      <c r="C48" s="4"/>
      <c r="D48" s="69">
        <v>0</v>
      </c>
      <c r="E48" s="11"/>
      <c r="F48" s="11"/>
      <c r="G48" s="28" t="s">
        <v>64</v>
      </c>
      <c r="H48" s="63">
        <f>D48*H46</f>
        <v>0</v>
      </c>
      <c r="I48" s="68"/>
    </row>
    <row r="49" spans="1:9" x14ac:dyDescent="0.2">
      <c r="A49" s="66"/>
      <c r="B49" s="10"/>
      <c r="C49" s="4"/>
      <c r="D49" s="11"/>
      <c r="E49" s="11"/>
      <c r="F49" s="11"/>
      <c r="G49" s="28" t="s">
        <v>65</v>
      </c>
      <c r="H49" s="63">
        <f>H46+H48</f>
        <v>75169.764999999999</v>
      </c>
      <c r="I49" s="68"/>
    </row>
    <row r="50" spans="1:9" x14ac:dyDescent="0.2">
      <c r="A50" s="66"/>
      <c r="B50" s="10"/>
      <c r="C50" s="4"/>
      <c r="D50" s="69">
        <v>0</v>
      </c>
      <c r="E50" s="11"/>
      <c r="F50" s="11"/>
      <c r="G50" s="28" t="s">
        <v>66</v>
      </c>
      <c r="H50" s="63">
        <f>D50*H49</f>
        <v>0</v>
      </c>
      <c r="I50" s="68"/>
    </row>
    <row r="51" spans="1:9" x14ac:dyDescent="0.2">
      <c r="A51" s="66"/>
      <c r="B51" s="10"/>
      <c r="C51" s="4"/>
      <c r="D51" s="11"/>
      <c r="E51" s="11"/>
      <c r="F51" s="11"/>
      <c r="G51" s="11"/>
      <c r="H51" s="12"/>
      <c r="I51" s="68"/>
    </row>
    <row r="52" spans="1:9" x14ac:dyDescent="0.2">
      <c r="A52" s="66"/>
      <c r="B52" s="10"/>
      <c r="C52" s="4"/>
      <c r="D52" s="11"/>
      <c r="E52" s="11"/>
      <c r="F52" s="11"/>
      <c r="H52" s="12"/>
      <c r="I52" s="68"/>
    </row>
    <row r="53" spans="1:9" x14ac:dyDescent="0.2">
      <c r="A53" s="66"/>
      <c r="B53" s="10"/>
      <c r="C53" s="4"/>
      <c r="D53" s="11"/>
      <c r="E53" s="11"/>
      <c r="F53" s="40"/>
      <c r="G53" s="41" t="s">
        <v>67</v>
      </c>
      <c r="H53" s="72">
        <f>H49+H50</f>
        <v>75169.764999999999</v>
      </c>
      <c r="I53" s="68"/>
    </row>
    <row r="54" spans="1:9" x14ac:dyDescent="0.2">
      <c r="A54" s="66"/>
      <c r="B54" s="10"/>
      <c r="C54" s="4"/>
      <c r="D54" s="11"/>
      <c r="E54" s="11"/>
      <c r="F54" s="40"/>
      <c r="G54" s="41" t="s">
        <v>68</v>
      </c>
      <c r="H54" s="72">
        <f>(H23+H29+(H44*H10))</f>
        <v>64702.700217809092</v>
      </c>
      <c r="I54" s="68"/>
    </row>
    <row r="55" spans="1:9" x14ac:dyDescent="0.2">
      <c r="A55" s="75"/>
      <c r="B55" s="76"/>
      <c r="C55" s="73"/>
      <c r="D55" s="77"/>
      <c r="E55" s="77"/>
      <c r="F55" s="77"/>
      <c r="G55" s="77"/>
      <c r="H55" s="78"/>
      <c r="I55" s="74"/>
    </row>
  </sheetData>
  <mergeCells count="1">
    <mergeCell ref="A7:I7"/>
  </mergeCells>
  <pageMargins left="0.7" right="0.7" top="0.75" bottom="0.75" header="0.3" footer="0.3"/>
  <pageSetup scale="8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94DD90-CF8E-4CD6-A788-FCE1F8044FFE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54"/>
  <sheetViews>
    <sheetView view="pageBreakPreview" topLeftCell="A16" zoomScaleNormal="100" zoomScaleSheetLayoutView="100" workbookViewId="0">
      <selection activeCell="E20" sqref="E20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180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3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181</v>
      </c>
      <c r="C11" s="208"/>
      <c r="D11" s="5"/>
      <c r="E11" s="23"/>
      <c r="F11" s="24"/>
      <c r="G11" s="23"/>
      <c r="H11" s="25"/>
      <c r="I11" s="36"/>
    </row>
    <row r="12" spans="1:11" x14ac:dyDescent="0.2">
      <c r="A12" s="35"/>
      <c r="C12" s="4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x14ac:dyDescent="0.2">
      <c r="A15" s="34"/>
      <c r="B15" s="7"/>
      <c r="C15" s="83" t="s">
        <v>168</v>
      </c>
      <c r="D15" s="56" t="s">
        <v>107</v>
      </c>
      <c r="E15" s="20">
        <v>5.0000000000000001E-3</v>
      </c>
      <c r="F15" s="20">
        <v>0</v>
      </c>
      <c r="G15" s="60">
        <f>280*$F$9</f>
        <v>250549.6</v>
      </c>
      <c r="H15" s="58">
        <f>E15*(1+F15)*G15</f>
        <v>1252.748</v>
      </c>
      <c r="I15" s="36"/>
    </row>
    <row r="16" spans="1:11" x14ac:dyDescent="0.2">
      <c r="A16" s="34"/>
      <c r="B16" s="7"/>
      <c r="C16" s="83" t="s">
        <v>169</v>
      </c>
      <c r="D16" s="56" t="s">
        <v>107</v>
      </c>
      <c r="E16" s="20">
        <v>5.0000000000000001E-3</v>
      </c>
      <c r="F16" s="20">
        <v>0</v>
      </c>
      <c r="G16" s="60">
        <v>235000</v>
      </c>
      <c r="H16" s="58">
        <f t="shared" ref="H16" si="0">E16*(1+F16)*G16</f>
        <v>1175</v>
      </c>
      <c r="I16" s="36"/>
    </row>
    <row r="17" spans="1:13" x14ac:dyDescent="0.2">
      <c r="A17" s="34"/>
      <c r="B17" s="7"/>
      <c r="C17" s="111" t="s">
        <v>182</v>
      </c>
      <c r="D17" s="102" t="s">
        <v>107</v>
      </c>
      <c r="E17" s="115">
        <v>5.0000000000000001E-3</v>
      </c>
      <c r="F17" s="115">
        <v>0</v>
      </c>
      <c r="G17" s="175">
        <f>2100*F9</f>
        <v>1879122</v>
      </c>
      <c r="H17" s="106">
        <f>E17*(1+F17)*G17</f>
        <v>9395.61</v>
      </c>
      <c r="I17" s="36"/>
      <c r="K17" s="94"/>
    </row>
    <row r="18" spans="1:13" x14ac:dyDescent="0.2">
      <c r="A18" s="34"/>
      <c r="B18" s="7"/>
      <c r="C18" s="83" t="s">
        <v>183</v>
      </c>
      <c r="D18" s="56" t="s">
        <v>107</v>
      </c>
      <c r="E18" s="20">
        <v>5.0000000000000001E-3</v>
      </c>
      <c r="F18" s="20">
        <v>0</v>
      </c>
      <c r="G18" s="172">
        <v>500000</v>
      </c>
      <c r="H18" s="58">
        <f t="shared" ref="H18:H21" si="1">E18*(1+F18)*G18</f>
        <v>2500</v>
      </c>
      <c r="I18" s="36"/>
      <c r="K18" s="94"/>
    </row>
    <row r="19" spans="1:13" x14ac:dyDescent="0.2">
      <c r="A19" s="34"/>
      <c r="B19" s="7"/>
      <c r="C19" s="83" t="s">
        <v>177</v>
      </c>
      <c r="D19" s="56" t="s">
        <v>107</v>
      </c>
      <c r="E19" s="20">
        <v>5.0000000000000001E-3</v>
      </c>
      <c r="F19" s="20">
        <v>0</v>
      </c>
      <c r="G19" s="172">
        <v>145000</v>
      </c>
      <c r="H19" s="58">
        <f t="shared" si="1"/>
        <v>725</v>
      </c>
      <c r="I19" s="36"/>
      <c r="K19" s="94"/>
    </row>
    <row r="20" spans="1:13" x14ac:dyDescent="0.2">
      <c r="A20" s="34"/>
      <c r="B20" s="7"/>
      <c r="C20" s="83" t="s">
        <v>184</v>
      </c>
      <c r="D20" s="56" t="s">
        <v>107</v>
      </c>
      <c r="E20" s="20">
        <f>0.01/2</f>
        <v>5.0000000000000001E-3</v>
      </c>
      <c r="F20" s="20">
        <v>0</v>
      </c>
      <c r="G20" s="172">
        <v>188500</v>
      </c>
      <c r="H20" s="58">
        <f t="shared" ref="H20" si="2">E20*(1+F20)*G20</f>
        <v>942.5</v>
      </c>
      <c r="I20" s="36"/>
      <c r="K20" s="94"/>
    </row>
    <row r="21" spans="1:13" x14ac:dyDescent="0.2">
      <c r="A21" s="34"/>
      <c r="B21" s="17"/>
      <c r="C21" s="83" t="s">
        <v>185</v>
      </c>
      <c r="D21" s="20" t="s">
        <v>107</v>
      </c>
      <c r="E21" s="20">
        <v>0.01</v>
      </c>
      <c r="F21" s="20">
        <v>0</v>
      </c>
      <c r="G21" s="172">
        <v>188500</v>
      </c>
      <c r="H21" s="58">
        <f t="shared" si="1"/>
        <v>1885</v>
      </c>
      <c r="I21" s="36"/>
      <c r="K21" s="94"/>
    </row>
    <row r="22" spans="1:13" x14ac:dyDescent="0.2">
      <c r="A22" s="34"/>
      <c r="B22" s="13"/>
      <c r="C22" s="14"/>
      <c r="D22" s="26"/>
      <c r="E22" s="26"/>
      <c r="F22" s="26"/>
      <c r="G22" s="29" t="s">
        <v>42</v>
      </c>
      <c r="H22" s="16">
        <f>SUM(H17:H21)</f>
        <v>15448.11</v>
      </c>
      <c r="I22" s="36"/>
    </row>
    <row r="23" spans="1:13" x14ac:dyDescent="0.2">
      <c r="A23" s="34"/>
      <c r="B23" s="13"/>
      <c r="C23" s="14"/>
      <c r="D23" s="26"/>
      <c r="E23" s="26"/>
      <c r="F23" s="26"/>
      <c r="G23" s="29" t="s">
        <v>43</v>
      </c>
      <c r="H23" s="16">
        <f>H22</f>
        <v>15448.11</v>
      </c>
      <c r="I23" s="36"/>
    </row>
    <row r="24" spans="1:13" x14ac:dyDescent="0.2">
      <c r="A24" s="35"/>
      <c r="B24" s="5"/>
      <c r="C24" s="5"/>
      <c r="D24" s="5"/>
      <c r="E24" s="5"/>
      <c r="F24" s="5"/>
      <c r="G24" s="5"/>
      <c r="H24" s="5"/>
      <c r="I24" s="36"/>
    </row>
    <row r="25" spans="1:13" x14ac:dyDescent="0.2">
      <c r="A25" s="32" t="s">
        <v>44</v>
      </c>
      <c r="B25" s="4"/>
      <c r="C25" s="4"/>
      <c r="D25" s="4"/>
      <c r="E25" s="4"/>
      <c r="F25" s="4"/>
      <c r="G25" s="4"/>
      <c r="H25" s="4"/>
      <c r="I25" s="33"/>
      <c r="M25" s="8"/>
    </row>
    <row r="26" spans="1:13" x14ac:dyDescent="0.2">
      <c r="A26" s="34"/>
      <c r="B26" s="7" t="s">
        <v>27</v>
      </c>
      <c r="C26" s="7" t="s">
        <v>28</v>
      </c>
      <c r="D26" s="7" t="s">
        <v>11</v>
      </c>
      <c r="E26" s="7" t="s">
        <v>29</v>
      </c>
      <c r="F26" s="7" t="s">
        <v>31</v>
      </c>
      <c r="G26" s="7" t="s">
        <v>45</v>
      </c>
      <c r="H26" s="7" t="s">
        <v>46</v>
      </c>
      <c r="I26" s="33"/>
    </row>
    <row r="27" spans="1:13" x14ac:dyDescent="0.2">
      <c r="A27" s="34"/>
      <c r="B27" s="17"/>
      <c r="C27" s="53" t="s">
        <v>127</v>
      </c>
      <c r="D27" s="21" t="s">
        <v>128</v>
      </c>
      <c r="E27" s="21">
        <v>1</v>
      </c>
      <c r="F27" s="21">
        <f>0.1*H23</f>
        <v>1544.8110000000001</v>
      </c>
      <c r="G27" s="21"/>
      <c r="H27" s="22">
        <f>E27*F27</f>
        <v>1544.8110000000001</v>
      </c>
      <c r="I27" s="33"/>
      <c r="K27" s="9"/>
    </row>
    <row r="28" spans="1:13" x14ac:dyDescent="0.2">
      <c r="A28" s="34"/>
      <c r="B28" s="13"/>
      <c r="C28" s="14"/>
      <c r="D28" s="15"/>
      <c r="E28" s="15"/>
      <c r="F28" s="15"/>
      <c r="G28" s="30" t="s">
        <v>49</v>
      </c>
      <c r="H28" s="27">
        <f>SUM(H27)</f>
        <v>1544.8110000000001</v>
      </c>
      <c r="I28" s="33"/>
      <c r="K28" s="9"/>
    </row>
    <row r="29" spans="1:13" x14ac:dyDescent="0.2">
      <c r="A29" s="34"/>
      <c r="B29" s="13"/>
      <c r="C29" s="14"/>
      <c r="D29" s="15"/>
      <c r="E29" s="15"/>
      <c r="F29" s="15"/>
      <c r="G29" s="30" t="s">
        <v>50</v>
      </c>
      <c r="H29" s="27">
        <f>H28/$H$8</f>
        <v>514.93700000000001</v>
      </c>
      <c r="I29" s="33"/>
      <c r="K29" s="9"/>
    </row>
    <row r="30" spans="1:13" x14ac:dyDescent="0.2">
      <c r="A30" s="32"/>
      <c r="B30" s="10"/>
      <c r="C30" s="4"/>
      <c r="D30" s="11"/>
      <c r="E30" s="11"/>
      <c r="F30" s="11"/>
      <c r="G30" s="11"/>
      <c r="H30" s="12"/>
      <c r="I30" s="33"/>
      <c r="K30" s="9"/>
    </row>
    <row r="31" spans="1:13" x14ac:dyDescent="0.2">
      <c r="A31" s="32" t="s">
        <v>51</v>
      </c>
      <c r="B31" s="10"/>
      <c r="C31" s="4"/>
      <c r="D31" s="11"/>
      <c r="E31" s="11"/>
      <c r="F31" s="11"/>
      <c r="G31" s="11"/>
      <c r="H31" s="12"/>
      <c r="I31" s="33"/>
      <c r="K31" s="9"/>
    </row>
    <row r="32" spans="1:13" x14ac:dyDescent="0.2">
      <c r="A32" s="32"/>
      <c r="B32" s="7" t="s">
        <v>27</v>
      </c>
      <c r="C32" s="7" t="s">
        <v>28</v>
      </c>
      <c r="D32" s="7" t="s">
        <v>11</v>
      </c>
      <c r="E32" s="7" t="s">
        <v>29</v>
      </c>
      <c r="F32" s="7" t="s">
        <v>52</v>
      </c>
      <c r="G32" s="7"/>
      <c r="H32" s="7" t="s">
        <v>46</v>
      </c>
      <c r="I32" s="33"/>
    </row>
    <row r="33" spans="1:9" x14ac:dyDescent="0.2">
      <c r="A33" s="32"/>
      <c r="B33" s="7"/>
      <c r="C33" s="53" t="s">
        <v>117</v>
      </c>
      <c r="D33" s="21" t="s">
        <v>54</v>
      </c>
      <c r="E33" s="54">
        <v>0.25</v>
      </c>
      <c r="F33" s="81">
        <v>40000</v>
      </c>
      <c r="G33" s="7"/>
      <c r="H33" s="87">
        <f>E33*F33</f>
        <v>10000</v>
      </c>
      <c r="I33" s="33"/>
    </row>
    <row r="34" spans="1:9" x14ac:dyDescent="0.2">
      <c r="A34" s="32"/>
      <c r="B34" s="17"/>
      <c r="C34" s="53" t="s">
        <v>91</v>
      </c>
      <c r="D34" s="21" t="s">
        <v>54</v>
      </c>
      <c r="E34" s="54">
        <v>1</v>
      </c>
      <c r="F34" s="81">
        <v>35000</v>
      </c>
      <c r="G34" s="21"/>
      <c r="H34" s="87">
        <f t="shared" ref="H34:H35" si="3">E34*F34</f>
        <v>35000</v>
      </c>
      <c r="I34" s="33"/>
    </row>
    <row r="35" spans="1:9" x14ac:dyDescent="0.2">
      <c r="A35" s="32"/>
      <c r="B35" s="17"/>
      <c r="C35" s="53" t="s">
        <v>57</v>
      </c>
      <c r="D35" s="21" t="s">
        <v>54</v>
      </c>
      <c r="E35" s="54">
        <v>2</v>
      </c>
      <c r="F35" s="18">
        <v>25000</v>
      </c>
      <c r="G35" s="21"/>
      <c r="H35" s="87">
        <f t="shared" si="3"/>
        <v>50000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58</v>
      </c>
      <c r="H36" s="88">
        <f>SUM(H33:H35)</f>
        <v>95000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59</v>
      </c>
      <c r="H38" s="63">
        <f>H36</f>
        <v>95000</v>
      </c>
      <c r="I38" s="33"/>
    </row>
    <row r="39" spans="1:9" x14ac:dyDescent="0.2">
      <c r="A39" s="32"/>
      <c r="B39" s="10"/>
      <c r="C39" s="4"/>
      <c r="D39" s="11"/>
      <c r="E39" s="69">
        <v>0.56999999999999995</v>
      </c>
      <c r="F39" s="11"/>
      <c r="G39" s="30" t="s">
        <v>60</v>
      </c>
      <c r="H39" s="70">
        <f>H38*E39</f>
        <v>54149.999999999993</v>
      </c>
      <c r="I39" s="33"/>
    </row>
    <row r="40" spans="1:9" x14ac:dyDescent="0.2">
      <c r="A40" s="32"/>
      <c r="B40" s="10"/>
      <c r="C40" s="4"/>
      <c r="D40" s="11"/>
      <c r="E40" s="69">
        <v>0</v>
      </c>
      <c r="F40" s="11"/>
      <c r="G40" s="30" t="s">
        <v>61</v>
      </c>
      <c r="H40" s="63">
        <f>H38*E40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58</v>
      </c>
      <c r="H42" s="63">
        <f>H38+H39+H40</f>
        <v>149150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0" t="s">
        <v>62</v>
      </c>
      <c r="H43" s="71">
        <f>H42/$H$8</f>
        <v>49716.666666666664</v>
      </c>
      <c r="I43" s="33"/>
    </row>
    <row r="44" spans="1:9" x14ac:dyDescent="0.2">
      <c r="A44" s="32"/>
      <c r="B44" s="10"/>
      <c r="C44" s="4"/>
      <c r="D44" s="11"/>
      <c r="E44" s="11"/>
      <c r="F44" s="11"/>
      <c r="G44" s="31"/>
      <c r="H44" s="12"/>
      <c r="I44" s="33"/>
    </row>
    <row r="45" spans="1:9" x14ac:dyDescent="0.2">
      <c r="A45" s="32"/>
      <c r="B45" s="10"/>
      <c r="C45" s="4"/>
      <c r="D45" s="11"/>
      <c r="E45" s="11"/>
      <c r="F45" s="11"/>
      <c r="G45" s="30" t="s">
        <v>63</v>
      </c>
      <c r="H45" s="63">
        <f>H23+H29+H43</f>
        <v>65679.713666666663</v>
      </c>
      <c r="I45" s="33"/>
    </row>
    <row r="46" spans="1:9" x14ac:dyDescent="0.2">
      <c r="A46" s="32"/>
      <c r="B46" s="10"/>
      <c r="C46" s="4"/>
      <c r="D46" s="11"/>
      <c r="E46" s="11"/>
      <c r="F46" s="11"/>
      <c r="G46" s="11"/>
      <c r="H46" s="63"/>
      <c r="I46" s="33"/>
    </row>
    <row r="47" spans="1:9" x14ac:dyDescent="0.2">
      <c r="A47" s="32"/>
      <c r="B47" s="10"/>
      <c r="C47" s="4"/>
      <c r="D47" s="69">
        <v>0</v>
      </c>
      <c r="E47" s="11"/>
      <c r="F47" s="11"/>
      <c r="G47" s="28" t="s">
        <v>64</v>
      </c>
      <c r="H47" s="63">
        <f>D47*H45</f>
        <v>0</v>
      </c>
      <c r="I47" s="33"/>
    </row>
    <row r="48" spans="1:9" x14ac:dyDescent="0.2">
      <c r="A48" s="32"/>
      <c r="B48" s="10"/>
      <c r="C48" s="4"/>
      <c r="D48" s="11"/>
      <c r="E48" s="11"/>
      <c r="F48" s="11"/>
      <c r="G48" s="28" t="s">
        <v>65</v>
      </c>
      <c r="H48" s="63">
        <f>H45+H47</f>
        <v>65679.713666666663</v>
      </c>
      <c r="I48" s="33"/>
    </row>
    <row r="49" spans="1:11" x14ac:dyDescent="0.2">
      <c r="A49" s="32"/>
      <c r="B49" s="10"/>
      <c r="C49" s="4"/>
      <c r="D49" s="69">
        <v>0</v>
      </c>
      <c r="E49" s="11"/>
      <c r="F49" s="11"/>
      <c r="G49" s="28" t="s">
        <v>66</v>
      </c>
      <c r="H49" s="63">
        <f>D49*H48</f>
        <v>0</v>
      </c>
      <c r="I49" s="33"/>
    </row>
    <row r="50" spans="1:11" x14ac:dyDescent="0.2">
      <c r="A50" s="32"/>
      <c r="B50" s="10"/>
      <c r="C50" s="4"/>
      <c r="D50" s="11"/>
      <c r="E50" s="11"/>
      <c r="F50" s="11"/>
      <c r="G50" s="11"/>
      <c r="H50" s="12"/>
      <c r="I50" s="33"/>
    </row>
    <row r="51" spans="1:11" x14ac:dyDescent="0.2">
      <c r="A51" s="32"/>
      <c r="B51" s="10"/>
      <c r="C51" s="4"/>
      <c r="D51" s="11"/>
      <c r="E51" s="11"/>
      <c r="F51" s="11"/>
      <c r="H51" s="12"/>
      <c r="I51" s="33"/>
    </row>
    <row r="52" spans="1:11" x14ac:dyDescent="0.2">
      <c r="A52" s="32"/>
      <c r="B52" s="10"/>
      <c r="C52" s="4"/>
      <c r="D52" s="11"/>
      <c r="E52" s="11"/>
      <c r="F52" s="40"/>
      <c r="G52" s="41" t="s">
        <v>67</v>
      </c>
      <c r="H52" s="72">
        <f>H48+H49</f>
        <v>65679.713666666663</v>
      </c>
      <c r="I52" s="33"/>
      <c r="K52" s="92"/>
    </row>
    <row r="53" spans="1:11" x14ac:dyDescent="0.2">
      <c r="A53" s="32"/>
      <c r="B53" s="10"/>
      <c r="C53" s="4"/>
      <c r="D53" s="11"/>
      <c r="E53" s="11"/>
      <c r="F53" s="40"/>
      <c r="G53" s="41" t="s">
        <v>68</v>
      </c>
      <c r="H53" s="72">
        <f>(H23+H29+(H43*H10))</f>
        <v>51150.089494127693</v>
      </c>
      <c r="I53" s="33"/>
    </row>
    <row r="54" spans="1:11" x14ac:dyDescent="0.2">
      <c r="A54" s="37"/>
      <c r="B54" s="38"/>
      <c r="C54" s="38"/>
      <c r="D54" s="38"/>
      <c r="E54" s="38"/>
      <c r="F54" s="38"/>
      <c r="G54" s="38"/>
      <c r="H54" s="38"/>
      <c r="I54" s="39"/>
    </row>
  </sheetData>
  <mergeCells count="2">
    <mergeCell ref="A7:I7"/>
    <mergeCell ref="B11:C11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25BEB39-4F74-413C-8B83-346336C7CF8C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4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186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187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x14ac:dyDescent="0.2">
      <c r="A15" s="34"/>
      <c r="B15" s="7"/>
      <c r="C15" s="83" t="s">
        <v>168</v>
      </c>
      <c r="D15" s="56" t="s">
        <v>107</v>
      </c>
      <c r="E15" s="55">
        <v>3.0000000000000001E-3</v>
      </c>
      <c r="F15" s="20">
        <v>0</v>
      </c>
      <c r="G15" s="60">
        <f>280*$F$9</f>
        <v>250549.6</v>
      </c>
      <c r="H15" s="58">
        <f>E15*(1+F15)*G15</f>
        <v>751.64880000000005</v>
      </c>
      <c r="I15" s="36"/>
    </row>
    <row r="16" spans="1:11" x14ac:dyDescent="0.2">
      <c r="A16" s="34"/>
      <c r="B16" s="7"/>
      <c r="C16" s="83" t="s">
        <v>169</v>
      </c>
      <c r="D16" s="56" t="s">
        <v>107</v>
      </c>
      <c r="E16" s="55">
        <v>3.0000000000000001E-3</v>
      </c>
      <c r="F16" s="20">
        <v>0</v>
      </c>
      <c r="G16" s="60">
        <v>235000</v>
      </c>
      <c r="H16" s="58">
        <f t="shared" ref="H16:H21" si="0">E16*(1+F16)*G16</f>
        <v>705</v>
      </c>
      <c r="I16" s="36"/>
    </row>
    <row r="17" spans="1:13" x14ac:dyDescent="0.2">
      <c r="A17" s="34"/>
      <c r="B17" s="7"/>
      <c r="C17" s="111" t="s">
        <v>188</v>
      </c>
      <c r="D17" s="102" t="s">
        <v>107</v>
      </c>
      <c r="E17" s="117">
        <v>3.0000000000000001E-3</v>
      </c>
      <c r="F17" s="115">
        <v>0</v>
      </c>
      <c r="G17" s="105">
        <f>2100*F9</f>
        <v>1879122</v>
      </c>
      <c r="H17" s="106">
        <f t="shared" si="0"/>
        <v>5637.366</v>
      </c>
      <c r="I17" s="36"/>
    </row>
    <row r="18" spans="1:13" x14ac:dyDescent="0.2">
      <c r="A18" s="34"/>
      <c r="B18" s="7"/>
      <c r="C18" s="83" t="s">
        <v>189</v>
      </c>
      <c r="D18" s="56" t="s">
        <v>107</v>
      </c>
      <c r="E18" s="55">
        <v>3.0000000000000001E-3</v>
      </c>
      <c r="F18" s="20">
        <v>0</v>
      </c>
      <c r="G18" s="60">
        <v>800000</v>
      </c>
      <c r="H18" s="58">
        <f t="shared" si="0"/>
        <v>2400</v>
      </c>
      <c r="I18" s="36"/>
    </row>
    <row r="19" spans="1:13" x14ac:dyDescent="0.2">
      <c r="A19" s="34"/>
      <c r="B19" s="7"/>
      <c r="C19" s="83" t="s">
        <v>190</v>
      </c>
      <c r="D19" s="20" t="s">
        <v>107</v>
      </c>
      <c r="E19" s="55">
        <v>3.0000000000000001E-3</v>
      </c>
      <c r="F19" s="20">
        <v>0</v>
      </c>
      <c r="G19" s="60">
        <v>244500</v>
      </c>
      <c r="H19" s="58">
        <f t="shared" si="0"/>
        <v>733.5</v>
      </c>
      <c r="I19" s="36"/>
    </row>
    <row r="20" spans="1:13" x14ac:dyDescent="0.2">
      <c r="A20" s="34"/>
      <c r="B20" s="7"/>
      <c r="C20" s="83" t="s">
        <v>191</v>
      </c>
      <c r="D20" s="56" t="s">
        <v>107</v>
      </c>
      <c r="E20" s="55">
        <v>6.6666666666666697E-3</v>
      </c>
      <c r="F20" s="20">
        <v>0</v>
      </c>
      <c r="G20" s="60">
        <v>801037</v>
      </c>
      <c r="H20" s="58">
        <f t="shared" si="0"/>
        <v>5340.2466666666687</v>
      </c>
      <c r="I20" s="36"/>
    </row>
    <row r="21" spans="1:13" x14ac:dyDescent="0.2">
      <c r="A21" s="34"/>
      <c r="B21" s="17"/>
      <c r="C21" s="83" t="s">
        <v>192</v>
      </c>
      <c r="D21" s="56" t="s">
        <v>107</v>
      </c>
      <c r="E21" s="55">
        <v>3.0000000000000001E-3</v>
      </c>
      <c r="F21" s="20">
        <v>0</v>
      </c>
      <c r="G21" s="60">
        <v>1649371</v>
      </c>
      <c r="H21" s="58">
        <f t="shared" si="0"/>
        <v>4948.1130000000003</v>
      </c>
      <c r="I21" s="36"/>
    </row>
    <row r="22" spans="1:13" x14ac:dyDescent="0.2">
      <c r="A22" s="34"/>
      <c r="B22" s="13"/>
      <c r="C22" s="14"/>
      <c r="D22" s="26"/>
      <c r="E22" s="26"/>
      <c r="F22" s="26"/>
      <c r="G22" s="29" t="s">
        <v>42</v>
      </c>
      <c r="H22" s="16">
        <f>SUM(H15:H21)</f>
        <v>20515.874466666672</v>
      </c>
      <c r="I22" s="36"/>
    </row>
    <row r="23" spans="1:13" x14ac:dyDescent="0.2">
      <c r="A23" s="34"/>
      <c r="B23" s="13"/>
      <c r="C23" s="14"/>
      <c r="D23" s="26"/>
      <c r="E23" s="26"/>
      <c r="F23" s="26"/>
      <c r="G23" s="29" t="s">
        <v>43</v>
      </c>
      <c r="H23" s="16">
        <f>H22</f>
        <v>20515.874466666672</v>
      </c>
      <c r="I23" s="36"/>
    </row>
    <row r="24" spans="1:13" x14ac:dyDescent="0.2">
      <c r="A24" s="35"/>
      <c r="B24" s="5"/>
      <c r="C24" s="5"/>
      <c r="D24" s="5"/>
      <c r="E24" s="5"/>
      <c r="F24" s="5"/>
      <c r="G24" s="5"/>
      <c r="H24" s="5"/>
      <c r="I24" s="36"/>
    </row>
    <row r="25" spans="1:13" x14ac:dyDescent="0.2">
      <c r="A25" s="32" t="s">
        <v>44</v>
      </c>
      <c r="B25" s="4"/>
      <c r="C25" s="4"/>
      <c r="D25" s="4"/>
      <c r="E25" s="4"/>
      <c r="F25" s="4"/>
      <c r="G25" s="4"/>
      <c r="H25" s="4"/>
      <c r="I25" s="33"/>
      <c r="M25" s="8"/>
    </row>
    <row r="26" spans="1:13" x14ac:dyDescent="0.2">
      <c r="A26" s="34"/>
      <c r="B26" s="7" t="s">
        <v>27</v>
      </c>
      <c r="C26" s="7" t="s">
        <v>28</v>
      </c>
      <c r="D26" s="7" t="s">
        <v>11</v>
      </c>
      <c r="E26" s="7" t="s">
        <v>29</v>
      </c>
      <c r="F26" s="7" t="s">
        <v>31</v>
      </c>
      <c r="G26" s="7" t="s">
        <v>45</v>
      </c>
      <c r="H26" s="7" t="s">
        <v>46</v>
      </c>
      <c r="I26" s="33"/>
    </row>
    <row r="27" spans="1:13" x14ac:dyDescent="0.2">
      <c r="A27" s="34"/>
      <c r="B27" s="17"/>
      <c r="C27" s="53" t="s">
        <v>127</v>
      </c>
      <c r="D27" s="21" t="s">
        <v>128</v>
      </c>
      <c r="E27" s="21">
        <v>1</v>
      </c>
      <c r="F27" s="21">
        <f>0.05*H23</f>
        <v>1025.7937233333337</v>
      </c>
      <c r="G27" s="21">
        <v>1</v>
      </c>
      <c r="H27" s="22">
        <f>E27*F27</f>
        <v>1025.7937233333337</v>
      </c>
      <c r="I27" s="33"/>
      <c r="K27" s="9"/>
    </row>
    <row r="28" spans="1:13" x14ac:dyDescent="0.2">
      <c r="A28" s="34"/>
      <c r="B28" s="13"/>
      <c r="C28" s="14"/>
      <c r="D28" s="15"/>
      <c r="E28" s="15"/>
      <c r="F28" s="15"/>
      <c r="G28" s="30" t="s">
        <v>49</v>
      </c>
      <c r="H28" s="27">
        <f>SUM(H27)</f>
        <v>1025.7937233333337</v>
      </c>
      <c r="I28" s="33"/>
      <c r="K28" s="9"/>
    </row>
    <row r="29" spans="1:13" x14ac:dyDescent="0.2">
      <c r="A29" s="34"/>
      <c r="B29" s="13"/>
      <c r="C29" s="14"/>
      <c r="D29" s="15"/>
      <c r="E29" s="15"/>
      <c r="F29" s="15"/>
      <c r="G29" s="30" t="s">
        <v>50</v>
      </c>
      <c r="H29" s="27">
        <f>H28/$H$8</f>
        <v>1025.7937233333337</v>
      </c>
      <c r="I29" s="33"/>
      <c r="K29" s="9"/>
    </row>
    <row r="30" spans="1:13" x14ac:dyDescent="0.2">
      <c r="A30" s="32"/>
      <c r="B30" s="10"/>
      <c r="C30" s="4"/>
      <c r="D30" s="11"/>
      <c r="E30" s="11"/>
      <c r="F30" s="11"/>
      <c r="G30" s="11"/>
      <c r="H30" s="12"/>
      <c r="I30" s="33"/>
      <c r="K30" s="9"/>
    </row>
    <row r="31" spans="1:13" x14ac:dyDescent="0.2">
      <c r="A31" s="32" t="s">
        <v>51</v>
      </c>
      <c r="B31" s="10"/>
      <c r="C31" s="4"/>
      <c r="D31" s="11"/>
      <c r="E31" s="11"/>
      <c r="F31" s="11"/>
      <c r="G31" s="11"/>
      <c r="H31" s="12"/>
      <c r="I31" s="33"/>
      <c r="K31" s="9"/>
    </row>
    <row r="32" spans="1:13" x14ac:dyDescent="0.2">
      <c r="A32" s="32"/>
      <c r="B32" s="7" t="s">
        <v>27</v>
      </c>
      <c r="C32" s="7" t="s">
        <v>28</v>
      </c>
      <c r="D32" s="7" t="s">
        <v>11</v>
      </c>
      <c r="E32" s="7" t="s">
        <v>29</v>
      </c>
      <c r="F32" s="7" t="s">
        <v>52</v>
      </c>
      <c r="G32" s="7"/>
      <c r="H32" s="7" t="s">
        <v>46</v>
      </c>
      <c r="I32" s="33"/>
    </row>
    <row r="33" spans="1:9" x14ac:dyDescent="0.2">
      <c r="A33" s="32"/>
      <c r="B33" s="7"/>
      <c r="C33" s="53" t="s">
        <v>117</v>
      </c>
      <c r="D33" s="21" t="s">
        <v>54</v>
      </c>
      <c r="E33" s="54">
        <v>0.25</v>
      </c>
      <c r="F33" s="81">
        <v>40000</v>
      </c>
      <c r="G33" s="7"/>
      <c r="H33" s="87">
        <f>E33*F33</f>
        <v>10000</v>
      </c>
      <c r="I33" s="33"/>
    </row>
    <row r="34" spans="1:9" x14ac:dyDescent="0.2">
      <c r="A34" s="32"/>
      <c r="B34" s="17"/>
      <c r="C34" s="53" t="s">
        <v>91</v>
      </c>
      <c r="D34" s="21" t="s">
        <v>54</v>
      </c>
      <c r="E34" s="54">
        <v>1</v>
      </c>
      <c r="F34" s="81">
        <v>35000</v>
      </c>
      <c r="G34" s="21"/>
      <c r="H34" s="87">
        <f t="shared" ref="H34:H35" si="1">E34*F34</f>
        <v>35000</v>
      </c>
      <c r="I34" s="33"/>
    </row>
    <row r="35" spans="1:9" x14ac:dyDescent="0.2">
      <c r="A35" s="32"/>
      <c r="B35" s="17"/>
      <c r="C35" s="53" t="s">
        <v>57</v>
      </c>
      <c r="D35" s="21" t="s">
        <v>54</v>
      </c>
      <c r="E35" s="54">
        <v>2</v>
      </c>
      <c r="F35" s="18">
        <v>25000</v>
      </c>
      <c r="G35" s="21"/>
      <c r="H35" s="87">
        <f t="shared" si="1"/>
        <v>50000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58</v>
      </c>
      <c r="H36" s="88">
        <f>SUM(H33:H35)</f>
        <v>95000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59</v>
      </c>
      <c r="H38" s="63">
        <f>H36</f>
        <v>95000</v>
      </c>
      <c r="I38" s="33"/>
    </row>
    <row r="39" spans="1:9" x14ac:dyDescent="0.2">
      <c r="A39" s="32"/>
      <c r="B39" s="10"/>
      <c r="C39" s="4"/>
      <c r="D39" s="11"/>
      <c r="E39" s="69">
        <v>0.56999999999999995</v>
      </c>
      <c r="F39" s="11"/>
      <c r="G39" s="30" t="s">
        <v>60</v>
      </c>
      <c r="H39" s="70">
        <f>H38*E39</f>
        <v>54149.999999999993</v>
      </c>
      <c r="I39" s="33"/>
    </row>
    <row r="40" spans="1:9" x14ac:dyDescent="0.2">
      <c r="A40" s="32"/>
      <c r="B40" s="10"/>
      <c r="C40" s="4"/>
      <c r="D40" s="11"/>
      <c r="E40" s="69">
        <v>0</v>
      </c>
      <c r="F40" s="11"/>
      <c r="G40" s="30" t="s">
        <v>61</v>
      </c>
      <c r="H40" s="63">
        <f>H38*E40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58</v>
      </c>
      <c r="H42" s="63">
        <f>H38+H39+H40</f>
        <v>149150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0" t="s">
        <v>62</v>
      </c>
      <c r="H43" s="71">
        <f>H42/$H$8</f>
        <v>149150</v>
      </c>
      <c r="I43" s="33"/>
    </row>
    <row r="44" spans="1:9" x14ac:dyDescent="0.2">
      <c r="A44" s="32"/>
      <c r="B44" s="10"/>
      <c r="C44" s="4"/>
      <c r="D44" s="11"/>
      <c r="E44" s="11"/>
      <c r="F44" s="11"/>
      <c r="G44" s="31"/>
      <c r="H44" s="12"/>
      <c r="I44" s="33"/>
    </row>
    <row r="45" spans="1:9" x14ac:dyDescent="0.2">
      <c r="A45" s="32"/>
      <c r="B45" s="10"/>
      <c r="C45" s="4"/>
      <c r="D45" s="11"/>
      <c r="E45" s="11"/>
      <c r="F45" s="11"/>
      <c r="G45" s="30" t="s">
        <v>63</v>
      </c>
      <c r="H45" s="63">
        <f>H23+H29+H43</f>
        <v>170691.66819</v>
      </c>
      <c r="I45" s="33"/>
    </row>
    <row r="46" spans="1:9" x14ac:dyDescent="0.2">
      <c r="A46" s="32"/>
      <c r="B46" s="10"/>
      <c r="C46" s="4"/>
      <c r="D46" s="11"/>
      <c r="E46" s="11"/>
      <c r="F46" s="11"/>
      <c r="G46" s="11"/>
      <c r="H46" s="63"/>
      <c r="I46" s="33"/>
    </row>
    <row r="47" spans="1:9" x14ac:dyDescent="0.2">
      <c r="A47" s="32"/>
      <c r="B47" s="10"/>
      <c r="C47" s="4"/>
      <c r="D47" s="69">
        <v>0</v>
      </c>
      <c r="E47" s="11"/>
      <c r="F47" s="11"/>
      <c r="G47" s="28" t="s">
        <v>64</v>
      </c>
      <c r="H47" s="63">
        <f>D47*H45</f>
        <v>0</v>
      </c>
      <c r="I47" s="33"/>
    </row>
    <row r="48" spans="1:9" x14ac:dyDescent="0.2">
      <c r="A48" s="32"/>
      <c r="B48" s="10"/>
      <c r="C48" s="4"/>
      <c r="D48" s="11"/>
      <c r="E48" s="11"/>
      <c r="F48" s="11"/>
      <c r="G48" s="28" t="s">
        <v>65</v>
      </c>
      <c r="H48" s="63">
        <f>H45+H47</f>
        <v>170691.66819</v>
      </c>
      <c r="I48" s="33"/>
    </row>
    <row r="49" spans="1:11" x14ac:dyDescent="0.2">
      <c r="A49" s="32"/>
      <c r="B49" s="10"/>
      <c r="C49" s="4"/>
      <c r="D49" s="69">
        <v>0</v>
      </c>
      <c r="E49" s="11"/>
      <c r="F49" s="11"/>
      <c r="G49" s="28" t="s">
        <v>66</v>
      </c>
      <c r="H49" s="63">
        <f>D49*H48</f>
        <v>0</v>
      </c>
      <c r="I49" s="33"/>
    </row>
    <row r="50" spans="1:11" x14ac:dyDescent="0.2">
      <c r="A50" s="32"/>
      <c r="B50" s="10"/>
      <c r="C50" s="4"/>
      <c r="D50" s="11"/>
      <c r="E50" s="11"/>
      <c r="F50" s="11"/>
      <c r="G50" s="11"/>
      <c r="H50" s="12"/>
      <c r="I50" s="33"/>
    </row>
    <row r="51" spans="1:11" x14ac:dyDescent="0.2">
      <c r="A51" s="32"/>
      <c r="B51" s="10"/>
      <c r="C51" s="4"/>
      <c r="D51" s="11"/>
      <c r="E51" s="11"/>
      <c r="F51" s="11"/>
      <c r="H51" s="12"/>
      <c r="I51" s="33"/>
    </row>
    <row r="52" spans="1:11" x14ac:dyDescent="0.2">
      <c r="A52" s="32"/>
      <c r="B52" s="10"/>
      <c r="C52" s="4"/>
      <c r="D52" s="11"/>
      <c r="E52" s="11"/>
      <c r="F52" s="40"/>
      <c r="G52" s="41" t="s">
        <v>67</v>
      </c>
      <c r="H52" s="72">
        <f>H48+H49</f>
        <v>170691.66819</v>
      </c>
      <c r="I52" s="33"/>
      <c r="K52" s="92"/>
    </row>
    <row r="53" spans="1:11" x14ac:dyDescent="0.2">
      <c r="A53" s="32"/>
      <c r="B53" s="10"/>
      <c r="C53" s="4"/>
      <c r="D53" s="11"/>
      <c r="E53" s="11"/>
      <c r="F53" s="40"/>
      <c r="G53" s="41" t="s">
        <v>68</v>
      </c>
      <c r="H53" s="72">
        <f>(H23+H29+(H43*H10))</f>
        <v>127102.7956723831</v>
      </c>
      <c r="I53" s="33"/>
    </row>
    <row r="54" spans="1:11" x14ac:dyDescent="0.2">
      <c r="A54" s="37"/>
      <c r="B54" s="38"/>
      <c r="C54" s="38"/>
      <c r="D54" s="38"/>
      <c r="E54" s="38"/>
      <c r="F54" s="38"/>
      <c r="G54" s="38"/>
      <c r="H54" s="38"/>
      <c r="I54" s="39"/>
    </row>
  </sheetData>
  <mergeCells count="2">
    <mergeCell ref="A7:I7"/>
    <mergeCell ref="B11:C11"/>
  </mergeCells>
  <pageMargins left="0.7" right="0.7" top="0.75" bottom="0.75" header="0.3" footer="0.3"/>
  <pageSetup scale="9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7FA026-C9A0-4899-B033-85A9BF9FA4BD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9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193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6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">
        <v>194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</row>
    <row r="14" spans="1:11" x14ac:dyDescent="0.2">
      <c r="A14" s="34"/>
      <c r="B14" s="7"/>
      <c r="C14" s="113" t="s">
        <v>195</v>
      </c>
      <c r="D14" s="102" t="s">
        <v>196</v>
      </c>
      <c r="E14" s="117">
        <v>1</v>
      </c>
      <c r="F14" s="115">
        <v>0</v>
      </c>
      <c r="G14" s="105">
        <f>650*F9</f>
        <v>581633</v>
      </c>
      <c r="H14" s="106">
        <f>E14*(1+F14)*G14</f>
        <v>581633</v>
      </c>
      <c r="I14" s="36"/>
    </row>
    <row r="15" spans="1:11" x14ac:dyDescent="0.2">
      <c r="A15" s="34"/>
      <c r="B15" s="7"/>
      <c r="C15" s="53" t="s">
        <v>197</v>
      </c>
      <c r="D15" s="56" t="s">
        <v>196</v>
      </c>
      <c r="E15" s="55">
        <v>1</v>
      </c>
      <c r="F15" s="20">
        <v>0</v>
      </c>
      <c r="G15" s="60">
        <v>69800</v>
      </c>
      <c r="H15" s="58">
        <f t="shared" ref="H15:H16" si="0">E15*(1+F15)*G15</f>
        <v>69800</v>
      </c>
      <c r="I15" s="36"/>
    </row>
    <row r="16" spans="1:11" x14ac:dyDescent="0.2">
      <c r="A16" s="34"/>
      <c r="B16" s="7"/>
      <c r="C16" s="53" t="s">
        <v>198</v>
      </c>
      <c r="D16" s="56" t="s">
        <v>196</v>
      </c>
      <c r="E16" s="55">
        <v>4</v>
      </c>
      <c r="F16" s="20">
        <v>0</v>
      </c>
      <c r="G16" s="60">
        <v>7500</v>
      </c>
      <c r="H16" s="58">
        <f t="shared" si="0"/>
        <v>30000</v>
      </c>
      <c r="I16" s="36"/>
    </row>
    <row r="17" spans="1:13" x14ac:dyDescent="0.2">
      <c r="A17" s="34"/>
      <c r="B17" s="13"/>
      <c r="C17" s="14"/>
      <c r="D17" s="26"/>
      <c r="E17" s="26"/>
      <c r="F17" s="26"/>
      <c r="G17" s="29" t="s">
        <v>42</v>
      </c>
      <c r="H17" s="16">
        <f>SUM(H14:H16)</f>
        <v>681433</v>
      </c>
      <c r="I17" s="36"/>
    </row>
    <row r="18" spans="1:13" x14ac:dyDescent="0.2">
      <c r="A18" s="34"/>
      <c r="B18" s="13"/>
      <c r="C18" s="14"/>
      <c r="D18" s="26"/>
      <c r="E18" s="26"/>
      <c r="F18" s="26"/>
      <c r="G18" s="29" t="s">
        <v>43</v>
      </c>
      <c r="H18" s="16">
        <f>H17</f>
        <v>681433</v>
      </c>
      <c r="I18" s="36"/>
    </row>
    <row r="19" spans="1:13" x14ac:dyDescent="0.2">
      <c r="A19" s="35"/>
      <c r="B19" s="5"/>
      <c r="C19" s="5"/>
      <c r="D19" s="5"/>
      <c r="E19" s="5"/>
      <c r="F19" s="5"/>
      <c r="G19" s="5"/>
      <c r="H19" s="5"/>
      <c r="I19" s="36"/>
    </row>
    <row r="20" spans="1:13" x14ac:dyDescent="0.2">
      <c r="A20" s="32" t="s">
        <v>44</v>
      </c>
      <c r="B20" s="4"/>
      <c r="C20" s="4"/>
      <c r="D20" s="4"/>
      <c r="E20" s="4"/>
      <c r="F20" s="4"/>
      <c r="G20" s="4"/>
      <c r="H20" s="4"/>
      <c r="I20" s="33"/>
      <c r="M20" s="8"/>
    </row>
    <row r="21" spans="1:13" x14ac:dyDescent="0.2">
      <c r="A21" s="34"/>
      <c r="B21" s="7" t="s">
        <v>27</v>
      </c>
      <c r="C21" s="7" t="s">
        <v>28</v>
      </c>
      <c r="D21" s="7" t="s">
        <v>11</v>
      </c>
      <c r="E21" s="7" t="s">
        <v>29</v>
      </c>
      <c r="F21" s="7" t="s">
        <v>31</v>
      </c>
      <c r="G21" s="7" t="s">
        <v>45</v>
      </c>
      <c r="H21" s="7" t="s">
        <v>46</v>
      </c>
      <c r="I21" s="33"/>
    </row>
    <row r="22" spans="1:13" x14ac:dyDescent="0.2">
      <c r="A22" s="34"/>
      <c r="B22" s="17"/>
      <c r="C22" s="53" t="s">
        <v>127</v>
      </c>
      <c r="D22" s="21" t="s">
        <v>128</v>
      </c>
      <c r="E22" s="21">
        <v>1</v>
      </c>
      <c r="F22" s="21">
        <f>0.05*H18</f>
        <v>34071.65</v>
      </c>
      <c r="G22" s="21">
        <v>1</v>
      </c>
      <c r="H22" s="22">
        <f>E22*F22</f>
        <v>34071.65</v>
      </c>
      <c r="I22" s="33"/>
      <c r="K22" s="9"/>
    </row>
    <row r="23" spans="1:13" x14ac:dyDescent="0.2">
      <c r="A23" s="34"/>
      <c r="B23" s="13"/>
      <c r="C23" s="14"/>
      <c r="D23" s="15"/>
      <c r="E23" s="15"/>
      <c r="F23" s="15"/>
      <c r="G23" s="30" t="s">
        <v>49</v>
      </c>
      <c r="H23" s="27">
        <f>SUM(H22)</f>
        <v>34071.65</v>
      </c>
      <c r="I23" s="33"/>
      <c r="K23" s="9"/>
    </row>
    <row r="24" spans="1:13" x14ac:dyDescent="0.2">
      <c r="A24" s="34"/>
      <c r="B24" s="13"/>
      <c r="C24" s="14"/>
      <c r="D24" s="15"/>
      <c r="E24" s="15"/>
      <c r="F24" s="15"/>
      <c r="G24" s="30" t="s">
        <v>50</v>
      </c>
      <c r="H24" s="27">
        <f>H23/$H$8</f>
        <v>5678.6083333333336</v>
      </c>
      <c r="I24" s="33"/>
      <c r="K24" s="9"/>
    </row>
    <row r="25" spans="1:13" x14ac:dyDescent="0.2">
      <c r="A25" s="32"/>
      <c r="B25" s="10"/>
      <c r="C25" s="4"/>
      <c r="D25" s="11"/>
      <c r="E25" s="11"/>
      <c r="F25" s="11"/>
      <c r="G25" s="11"/>
      <c r="H25" s="12"/>
      <c r="I25" s="33"/>
      <c r="K25" s="9"/>
    </row>
    <row r="26" spans="1:13" x14ac:dyDescent="0.2">
      <c r="A26" s="32" t="s">
        <v>51</v>
      </c>
      <c r="B26" s="10"/>
      <c r="C26" s="4"/>
      <c r="D26" s="11"/>
      <c r="E26" s="11"/>
      <c r="F26" s="11"/>
      <c r="G26" s="11"/>
      <c r="H26" s="12"/>
      <c r="I26" s="33"/>
      <c r="K26" s="9"/>
    </row>
    <row r="27" spans="1:13" x14ac:dyDescent="0.2">
      <c r="A27" s="32"/>
      <c r="B27" s="7" t="s">
        <v>27</v>
      </c>
      <c r="C27" s="7" t="s">
        <v>28</v>
      </c>
      <c r="D27" s="7" t="s">
        <v>11</v>
      </c>
      <c r="E27" s="7" t="s">
        <v>29</v>
      </c>
      <c r="F27" s="7" t="s">
        <v>52</v>
      </c>
      <c r="G27" s="7"/>
      <c r="H27" s="7" t="s">
        <v>46</v>
      </c>
      <c r="I27" s="33"/>
    </row>
    <row r="28" spans="1:13" x14ac:dyDescent="0.2">
      <c r="A28" s="32"/>
      <c r="B28" s="7"/>
      <c r="C28" s="53" t="s">
        <v>117</v>
      </c>
      <c r="D28" s="21" t="s">
        <v>54</v>
      </c>
      <c r="E28" s="54">
        <v>0.25</v>
      </c>
      <c r="F28" s="81">
        <v>40000</v>
      </c>
      <c r="G28" s="7"/>
      <c r="H28" s="87">
        <f>E28*F28</f>
        <v>10000</v>
      </c>
      <c r="I28" s="33"/>
    </row>
    <row r="29" spans="1:13" x14ac:dyDescent="0.2">
      <c r="A29" s="32"/>
      <c r="B29" s="17"/>
      <c r="C29" s="53" t="s">
        <v>91</v>
      </c>
      <c r="D29" s="21" t="s">
        <v>54</v>
      </c>
      <c r="E29" s="54">
        <v>1</v>
      </c>
      <c r="F29" s="81">
        <v>35000</v>
      </c>
      <c r="G29" s="21"/>
      <c r="H29" s="87">
        <f t="shared" ref="H29:H30" si="1">E29*F29</f>
        <v>35000</v>
      </c>
      <c r="I29" s="33"/>
    </row>
    <row r="30" spans="1:13" x14ac:dyDescent="0.2">
      <c r="A30" s="32"/>
      <c r="B30" s="17"/>
      <c r="C30" s="53" t="s">
        <v>57</v>
      </c>
      <c r="D30" s="21" t="s">
        <v>54</v>
      </c>
      <c r="E30" s="54">
        <v>2</v>
      </c>
      <c r="F30" s="18">
        <v>25000</v>
      </c>
      <c r="G30" s="21"/>
      <c r="H30" s="87">
        <f t="shared" si="1"/>
        <v>50000</v>
      </c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58</v>
      </c>
      <c r="H31" s="88">
        <f>SUM(H28:H30)</f>
        <v>95000</v>
      </c>
      <c r="I31" s="33"/>
    </row>
    <row r="32" spans="1:13" x14ac:dyDescent="0.2">
      <c r="A32" s="32"/>
      <c r="B32" s="10"/>
      <c r="C32" s="4"/>
      <c r="D32" s="11"/>
      <c r="E32" s="11"/>
      <c r="F32" s="11"/>
      <c r="G32" s="31"/>
      <c r="H32" s="12"/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59</v>
      </c>
      <c r="H33" s="63">
        <f>H31</f>
        <v>95000</v>
      </c>
      <c r="I33" s="33"/>
    </row>
    <row r="34" spans="1:9" x14ac:dyDescent="0.2">
      <c r="A34" s="32"/>
      <c r="B34" s="10"/>
      <c r="C34" s="4"/>
      <c r="D34" s="11"/>
      <c r="E34" s="69">
        <v>0.56999999999999995</v>
      </c>
      <c r="F34" s="11"/>
      <c r="G34" s="30" t="s">
        <v>60</v>
      </c>
      <c r="H34" s="70">
        <f>H33*E34</f>
        <v>54149.999999999993</v>
      </c>
      <c r="I34" s="33"/>
    </row>
    <row r="35" spans="1:9" x14ac:dyDescent="0.2">
      <c r="A35" s="32"/>
      <c r="B35" s="10"/>
      <c r="C35" s="4"/>
      <c r="D35" s="11"/>
      <c r="E35" s="69">
        <v>0</v>
      </c>
      <c r="F35" s="11"/>
      <c r="G35" s="30" t="s">
        <v>61</v>
      </c>
      <c r="H35" s="63">
        <f>H33*E35</f>
        <v>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58</v>
      </c>
      <c r="H37" s="63">
        <f>H33+H34+H35</f>
        <v>149150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62</v>
      </c>
      <c r="H38" s="71">
        <f>H37/$H$8</f>
        <v>24858.333333333332</v>
      </c>
      <c r="I38" s="33"/>
    </row>
    <row r="39" spans="1:9" x14ac:dyDescent="0.2">
      <c r="A39" s="32"/>
      <c r="B39" s="10"/>
      <c r="C39" s="4"/>
      <c r="D39" s="11"/>
      <c r="E39" s="11"/>
      <c r="F39" s="11"/>
      <c r="G39" s="31"/>
      <c r="H39" s="12"/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63</v>
      </c>
      <c r="H40" s="63">
        <f>H18+H24+H38</f>
        <v>711969.94166666665</v>
      </c>
      <c r="I40" s="33"/>
    </row>
    <row r="41" spans="1:9" x14ac:dyDescent="0.2">
      <c r="A41" s="32"/>
      <c r="B41" s="10"/>
      <c r="C41" s="4"/>
      <c r="D41" s="11"/>
      <c r="E41" s="11"/>
      <c r="F41" s="11"/>
      <c r="G41" s="11"/>
      <c r="H41" s="63"/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64</v>
      </c>
      <c r="H42" s="63">
        <f>D42*H40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28" t="s">
        <v>65</v>
      </c>
      <c r="H43" s="63">
        <f>H40+H42</f>
        <v>711969.94166666665</v>
      </c>
      <c r="I43" s="33"/>
    </row>
    <row r="44" spans="1:9" x14ac:dyDescent="0.2">
      <c r="A44" s="32"/>
      <c r="B44" s="10"/>
      <c r="C44" s="4"/>
      <c r="D44" s="69">
        <v>0</v>
      </c>
      <c r="E44" s="11"/>
      <c r="F44" s="11"/>
      <c r="G44" s="28" t="s">
        <v>66</v>
      </c>
      <c r="H44" s="63">
        <f>D44*H43</f>
        <v>0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12"/>
      <c r="I45" s="33"/>
    </row>
    <row r="46" spans="1:9" x14ac:dyDescent="0.2">
      <c r="A46" s="32"/>
      <c r="B46" s="10"/>
      <c r="C46" s="4"/>
      <c r="D46" s="11"/>
      <c r="E46" s="11"/>
      <c r="F46" s="11"/>
      <c r="H46" s="12"/>
      <c r="I46" s="33"/>
    </row>
    <row r="47" spans="1:9" x14ac:dyDescent="0.2">
      <c r="A47" s="32"/>
      <c r="B47" s="10"/>
      <c r="C47" s="4"/>
      <c r="D47" s="11"/>
      <c r="E47" s="11"/>
      <c r="F47" s="40"/>
      <c r="G47" s="41" t="s">
        <v>67</v>
      </c>
      <c r="H47" s="72">
        <f>H43+H44</f>
        <v>711969.94166666665</v>
      </c>
      <c r="I47" s="33"/>
    </row>
    <row r="48" spans="1:9" x14ac:dyDescent="0.2">
      <c r="A48" s="32"/>
      <c r="B48" s="10"/>
      <c r="C48" s="4"/>
      <c r="D48" s="11"/>
      <c r="E48" s="11"/>
      <c r="F48" s="40"/>
      <c r="G48" s="41" t="s">
        <v>68</v>
      </c>
      <c r="H48" s="72">
        <f>(H18+H24+(H38*H10))</f>
        <v>704705.12958039716</v>
      </c>
      <c r="I48" s="33"/>
    </row>
    <row r="49" spans="1:9" x14ac:dyDescent="0.2">
      <c r="A49" s="37"/>
      <c r="B49" s="38"/>
      <c r="C49" s="38"/>
      <c r="D49" s="38"/>
      <c r="E49" s="38"/>
      <c r="F49" s="38"/>
      <c r="G49" s="38"/>
      <c r="H49" s="38"/>
      <c r="I49" s="39"/>
    </row>
  </sheetData>
  <mergeCells count="1">
    <mergeCell ref="A7:I7"/>
  </mergeCells>
  <pageMargins left="0.7" right="0.7" top="0.75" bottom="0.75" header="0.3" footer="0.3"/>
  <pageSetup scale="9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7095D0-83F1-435D-A248-4F2F78FFAFCD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9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199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15</v>
      </c>
      <c r="G8" s="23" t="s">
        <v>24</v>
      </c>
      <c r="H8" s="25">
        <v>120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200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x14ac:dyDescent="0.2">
      <c r="A15" s="34"/>
      <c r="B15" s="7"/>
      <c r="C15" s="53" t="s">
        <v>201</v>
      </c>
      <c r="D15" s="56" t="s">
        <v>196</v>
      </c>
      <c r="E15" s="56">
        <v>0.15</v>
      </c>
      <c r="F15" s="56">
        <v>0</v>
      </c>
      <c r="G15" s="60">
        <v>2990</v>
      </c>
      <c r="H15" s="58">
        <f>E15*(1+F15)*G15</f>
        <v>448.5</v>
      </c>
      <c r="I15" s="36"/>
    </row>
    <row r="16" spans="1:11" x14ac:dyDescent="0.2">
      <c r="A16" s="34"/>
      <c r="B16" s="118"/>
      <c r="C16" s="113" t="s">
        <v>202</v>
      </c>
      <c r="D16" s="115" t="s">
        <v>203</v>
      </c>
      <c r="E16" s="115">
        <v>1</v>
      </c>
      <c r="F16" s="115">
        <v>0.05</v>
      </c>
      <c r="G16" s="105">
        <f>2.5*F9</f>
        <v>2237.0500000000002</v>
      </c>
      <c r="H16" s="106">
        <f>E16*(1+F16)*G16</f>
        <v>2348.9025000000001</v>
      </c>
      <c r="I16" s="36"/>
    </row>
    <row r="17" spans="1:13" x14ac:dyDescent="0.2">
      <c r="A17" s="34"/>
      <c r="B17" s="13"/>
      <c r="C17" s="14"/>
      <c r="D17" s="26"/>
      <c r="E17" s="26"/>
      <c r="F17" s="26"/>
      <c r="G17" s="29" t="s">
        <v>42</v>
      </c>
      <c r="H17" s="16">
        <f>SUM(H15:H16)</f>
        <v>2797.4025000000001</v>
      </c>
      <c r="I17" s="36"/>
    </row>
    <row r="18" spans="1:13" x14ac:dyDescent="0.2">
      <c r="A18" s="34"/>
      <c r="B18" s="13"/>
      <c r="C18" s="14"/>
      <c r="D18" s="26"/>
      <c r="E18" s="26"/>
      <c r="F18" s="26"/>
      <c r="G18" s="29" t="s">
        <v>43</v>
      </c>
      <c r="H18" s="16">
        <f>H17</f>
        <v>2797.4025000000001</v>
      </c>
      <c r="I18" s="36"/>
    </row>
    <row r="19" spans="1:13" x14ac:dyDescent="0.2">
      <c r="A19" s="35"/>
      <c r="B19" s="5"/>
      <c r="C19" s="5"/>
      <c r="D19" s="5"/>
      <c r="E19" s="5"/>
      <c r="F19" s="5"/>
      <c r="G19" s="5"/>
      <c r="H19" s="5"/>
      <c r="I19" s="36"/>
    </row>
    <row r="20" spans="1:13" x14ac:dyDescent="0.2">
      <c r="A20" s="32" t="s">
        <v>44</v>
      </c>
      <c r="B20" s="4"/>
      <c r="C20" s="4"/>
      <c r="D20" s="4"/>
      <c r="E20" s="4"/>
      <c r="F20" s="4"/>
      <c r="G20" s="4"/>
      <c r="H20" s="4"/>
      <c r="I20" s="33"/>
      <c r="M20" s="8"/>
    </row>
    <row r="21" spans="1:13" x14ac:dyDescent="0.2">
      <c r="A21" s="34"/>
      <c r="B21" s="7" t="s">
        <v>27</v>
      </c>
      <c r="C21" s="7" t="s">
        <v>28</v>
      </c>
      <c r="D21" s="7" t="s">
        <v>11</v>
      </c>
      <c r="E21" s="7" t="s">
        <v>29</v>
      </c>
      <c r="F21" s="7" t="s">
        <v>31</v>
      </c>
      <c r="G21" s="7" t="s">
        <v>45</v>
      </c>
      <c r="H21" s="7" t="s">
        <v>46</v>
      </c>
      <c r="I21" s="33"/>
    </row>
    <row r="22" spans="1:13" x14ac:dyDescent="0.2">
      <c r="A22" s="34"/>
      <c r="B22" s="17"/>
      <c r="C22" s="53" t="s">
        <v>127</v>
      </c>
      <c r="D22" s="21" t="s">
        <v>128</v>
      </c>
      <c r="E22" s="21">
        <v>1</v>
      </c>
      <c r="F22" s="21">
        <f>0.05*H18</f>
        <v>139.870125</v>
      </c>
      <c r="G22" s="21">
        <v>1</v>
      </c>
      <c r="H22" s="22">
        <f>E22*F22</f>
        <v>139.870125</v>
      </c>
      <c r="I22" s="33"/>
      <c r="K22" s="9"/>
    </row>
    <row r="23" spans="1:13" x14ac:dyDescent="0.2">
      <c r="A23" s="34"/>
      <c r="B23" s="13"/>
      <c r="C23" s="14"/>
      <c r="D23" s="15"/>
      <c r="E23" s="15"/>
      <c r="F23" s="15"/>
      <c r="G23" s="30" t="s">
        <v>49</v>
      </c>
      <c r="H23" s="27">
        <f>SUM(H22)</f>
        <v>139.870125</v>
      </c>
      <c r="I23" s="33"/>
      <c r="K23" s="9"/>
    </row>
    <row r="24" spans="1:13" x14ac:dyDescent="0.2">
      <c r="A24" s="34"/>
      <c r="B24" s="13"/>
      <c r="C24" s="14"/>
      <c r="D24" s="15"/>
      <c r="E24" s="15"/>
      <c r="F24" s="15"/>
      <c r="G24" s="30" t="s">
        <v>50</v>
      </c>
      <c r="H24" s="27">
        <f>H23/$H$8</f>
        <v>1.1655843750000001</v>
      </c>
      <c r="I24" s="33"/>
      <c r="K24" s="9"/>
    </row>
    <row r="25" spans="1:13" x14ac:dyDescent="0.2">
      <c r="A25" s="32"/>
      <c r="B25" s="10"/>
      <c r="C25" s="4"/>
      <c r="D25" s="11"/>
      <c r="E25" s="11"/>
      <c r="F25" s="11"/>
      <c r="G25" s="11"/>
      <c r="H25" s="12"/>
      <c r="I25" s="33"/>
      <c r="K25" s="9"/>
    </row>
    <row r="26" spans="1:13" x14ac:dyDescent="0.2">
      <c r="A26" s="32" t="s">
        <v>51</v>
      </c>
      <c r="B26" s="10"/>
      <c r="C26" s="4"/>
      <c r="D26" s="11"/>
      <c r="E26" s="11"/>
      <c r="F26" s="11"/>
      <c r="G26" s="11"/>
      <c r="H26" s="12"/>
      <c r="I26" s="33"/>
      <c r="K26" s="9"/>
    </row>
    <row r="27" spans="1:13" x14ac:dyDescent="0.2">
      <c r="A27" s="32"/>
      <c r="B27" s="7" t="s">
        <v>27</v>
      </c>
      <c r="C27" s="7" t="s">
        <v>28</v>
      </c>
      <c r="D27" s="7" t="s">
        <v>11</v>
      </c>
      <c r="E27" s="7" t="s">
        <v>29</v>
      </c>
      <c r="F27" s="7" t="s">
        <v>52</v>
      </c>
      <c r="G27" s="7"/>
      <c r="H27" s="7" t="s">
        <v>46</v>
      </c>
      <c r="I27" s="33"/>
    </row>
    <row r="28" spans="1:13" x14ac:dyDescent="0.2">
      <c r="A28" s="32"/>
      <c r="B28" s="7"/>
      <c r="C28" s="53" t="s">
        <v>117</v>
      </c>
      <c r="D28" s="21" t="s">
        <v>54</v>
      </c>
      <c r="E28" s="54">
        <v>0.25</v>
      </c>
      <c r="F28" s="81">
        <v>40000</v>
      </c>
      <c r="G28" s="7"/>
      <c r="H28" s="87">
        <f>E28*F28</f>
        <v>10000</v>
      </c>
      <c r="I28" s="33"/>
    </row>
    <row r="29" spans="1:13" x14ac:dyDescent="0.2">
      <c r="A29" s="32"/>
      <c r="B29" s="17"/>
      <c r="C29" s="53" t="s">
        <v>91</v>
      </c>
      <c r="D29" s="21" t="s">
        <v>54</v>
      </c>
      <c r="E29" s="54">
        <v>1</v>
      </c>
      <c r="F29" s="81">
        <v>35000</v>
      </c>
      <c r="G29" s="21"/>
      <c r="H29" s="87">
        <f t="shared" ref="H29:H30" si="0">E29*F29</f>
        <v>35000</v>
      </c>
      <c r="I29" s="33"/>
    </row>
    <row r="30" spans="1:13" x14ac:dyDescent="0.2">
      <c r="A30" s="32"/>
      <c r="B30" s="17"/>
      <c r="C30" s="53" t="s">
        <v>57</v>
      </c>
      <c r="D30" s="21" t="s">
        <v>54</v>
      </c>
      <c r="E30" s="54">
        <v>2</v>
      </c>
      <c r="F30" s="18">
        <v>25000</v>
      </c>
      <c r="G30" s="21"/>
      <c r="H30" s="87">
        <f t="shared" si="0"/>
        <v>50000</v>
      </c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58</v>
      </c>
      <c r="H31" s="88">
        <f>SUM(H28:H30)</f>
        <v>95000</v>
      </c>
      <c r="I31" s="33"/>
    </row>
    <row r="32" spans="1:13" x14ac:dyDescent="0.2">
      <c r="A32" s="32"/>
      <c r="B32" s="10"/>
      <c r="C32" s="4"/>
      <c r="D32" s="11"/>
      <c r="E32" s="11"/>
      <c r="F32" s="11"/>
      <c r="G32" s="31"/>
      <c r="H32" s="12"/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59</v>
      </c>
      <c r="H33" s="63">
        <f>H31</f>
        <v>95000</v>
      </c>
      <c r="I33" s="33"/>
    </row>
    <row r="34" spans="1:9" x14ac:dyDescent="0.2">
      <c r="A34" s="32"/>
      <c r="B34" s="10"/>
      <c r="C34" s="4"/>
      <c r="D34" s="11"/>
      <c r="E34" s="69">
        <v>0.56999999999999995</v>
      </c>
      <c r="F34" s="11"/>
      <c r="G34" s="30" t="s">
        <v>60</v>
      </c>
      <c r="H34" s="70">
        <f>H33*E34</f>
        <v>54149.999999999993</v>
      </c>
      <c r="I34" s="33"/>
    </row>
    <row r="35" spans="1:9" x14ac:dyDescent="0.2">
      <c r="A35" s="32"/>
      <c r="B35" s="10"/>
      <c r="C35" s="4"/>
      <c r="D35" s="11"/>
      <c r="E35" s="69">
        <v>0</v>
      </c>
      <c r="F35" s="11"/>
      <c r="G35" s="30" t="s">
        <v>61</v>
      </c>
      <c r="H35" s="63">
        <f>H33*E35</f>
        <v>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58</v>
      </c>
      <c r="H37" s="63">
        <f>H33+H34+H35</f>
        <v>149150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62</v>
      </c>
      <c r="H38" s="71">
        <f>H37/$H$8</f>
        <v>1242.9166666666667</v>
      </c>
      <c r="I38" s="33"/>
    </row>
    <row r="39" spans="1:9" x14ac:dyDescent="0.2">
      <c r="A39" s="32"/>
      <c r="B39" s="10"/>
      <c r="C39" s="4"/>
      <c r="D39" s="11"/>
      <c r="E39" s="11"/>
      <c r="F39" s="11"/>
      <c r="G39" s="31"/>
      <c r="H39" s="12"/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63</v>
      </c>
      <c r="H40" s="63">
        <f>H18+H24+H38</f>
        <v>4041.4847510416666</v>
      </c>
      <c r="I40" s="33"/>
    </row>
    <row r="41" spans="1:9" x14ac:dyDescent="0.2">
      <c r="A41" s="32"/>
      <c r="B41" s="10"/>
      <c r="C41" s="4"/>
      <c r="D41" s="11"/>
      <c r="E41" s="11"/>
      <c r="F41" s="11"/>
      <c r="G41" s="11"/>
      <c r="H41" s="63"/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64</v>
      </c>
      <c r="H42" s="63">
        <f>D42*H40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28" t="s">
        <v>65</v>
      </c>
      <c r="H43" s="63">
        <f>H40+H42</f>
        <v>4041.4847510416666</v>
      </c>
      <c r="I43" s="33"/>
    </row>
    <row r="44" spans="1:9" x14ac:dyDescent="0.2">
      <c r="A44" s="32"/>
      <c r="B44" s="10"/>
      <c r="C44" s="4"/>
      <c r="D44" s="69">
        <v>0</v>
      </c>
      <c r="E44" s="11"/>
      <c r="F44" s="11"/>
      <c r="G44" s="28" t="s">
        <v>66</v>
      </c>
      <c r="H44" s="63">
        <f>D44*H43</f>
        <v>0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12"/>
      <c r="I45" s="33"/>
    </row>
    <row r="46" spans="1:9" x14ac:dyDescent="0.2">
      <c r="A46" s="32"/>
      <c r="B46" s="10"/>
      <c r="C46" s="4"/>
      <c r="D46" s="11"/>
      <c r="E46" s="11"/>
      <c r="F46" s="11"/>
      <c r="H46" s="12"/>
      <c r="I46" s="33"/>
    </row>
    <row r="47" spans="1:9" x14ac:dyDescent="0.2">
      <c r="A47" s="32"/>
      <c r="B47" s="10"/>
      <c r="C47" s="4"/>
      <c r="D47" s="11"/>
      <c r="E47" s="11"/>
      <c r="F47" s="40"/>
      <c r="G47" s="41" t="s">
        <v>67</v>
      </c>
      <c r="H47" s="72">
        <f>H43+H44</f>
        <v>4041.4847510416666</v>
      </c>
      <c r="I47" s="33"/>
    </row>
    <row r="48" spans="1:9" x14ac:dyDescent="0.2">
      <c r="A48" s="32"/>
      <c r="B48" s="10"/>
      <c r="C48" s="4"/>
      <c r="D48" s="11"/>
      <c r="E48" s="11"/>
      <c r="F48" s="40"/>
      <c r="G48" s="41" t="s">
        <v>68</v>
      </c>
      <c r="H48" s="72">
        <f>(H18+H24+(H38*H10))</f>
        <v>3678.2441467281924</v>
      </c>
      <c r="I48" s="33"/>
    </row>
    <row r="49" spans="1:9" x14ac:dyDescent="0.2">
      <c r="A49" s="37"/>
      <c r="B49" s="38"/>
      <c r="C49" s="38"/>
      <c r="D49" s="38"/>
      <c r="E49" s="38"/>
      <c r="F49" s="38"/>
      <c r="G49" s="38"/>
      <c r="H49" s="38"/>
      <c r="I49" s="39"/>
    </row>
  </sheetData>
  <mergeCells count="2">
    <mergeCell ref="A7:I7"/>
    <mergeCell ref="B11:C11"/>
  </mergeCells>
  <pageMargins left="0.7" right="0.7" top="0.75" bottom="0.75" header="0.3" footer="0.3"/>
  <pageSetup scale="9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AF0BC0-41B6-4FCD-A74C-3E99BCBE933D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51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204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205</v>
      </c>
      <c r="G8" s="23" t="s">
        <v>24</v>
      </c>
      <c r="H8" s="25">
        <v>100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</row>
    <row r="14" spans="1:11" x14ac:dyDescent="0.2">
      <c r="A14" s="34"/>
      <c r="B14" s="7"/>
      <c r="C14" s="126" t="s">
        <v>206</v>
      </c>
      <c r="D14" s="127" t="s">
        <v>34</v>
      </c>
      <c r="E14" s="127">
        <v>0.18</v>
      </c>
      <c r="F14" s="127">
        <v>0.05</v>
      </c>
      <c r="G14" s="128">
        <v>6590</v>
      </c>
      <c r="H14" s="128">
        <v>1246</v>
      </c>
      <c r="I14" s="36"/>
    </row>
    <row r="15" spans="1:11" x14ac:dyDescent="0.2">
      <c r="A15" s="34"/>
      <c r="B15" s="7"/>
      <c r="C15" s="133" t="s">
        <v>207</v>
      </c>
      <c r="D15" s="131" t="s">
        <v>11</v>
      </c>
      <c r="E15" s="131">
        <v>0.04</v>
      </c>
      <c r="F15" s="131">
        <v>0</v>
      </c>
      <c r="G15" s="132">
        <v>27990</v>
      </c>
      <c r="H15" s="132">
        <v>1120</v>
      </c>
      <c r="I15" s="36"/>
    </row>
    <row r="16" spans="1:11" x14ac:dyDescent="0.2">
      <c r="A16" s="34"/>
      <c r="B16" s="17"/>
      <c r="C16" s="134" t="s">
        <v>208</v>
      </c>
      <c r="D16" s="135" t="s">
        <v>203</v>
      </c>
      <c r="E16" s="135">
        <v>1</v>
      </c>
      <c r="F16" s="135">
        <v>0.05</v>
      </c>
      <c r="G16" s="136">
        <f>2.5*F9</f>
        <v>2237.0500000000002</v>
      </c>
      <c r="H16" s="136">
        <v>2924</v>
      </c>
      <c r="I16" s="36"/>
    </row>
    <row r="17" spans="1:13" x14ac:dyDescent="0.2">
      <c r="A17" s="34"/>
      <c r="B17" s="13"/>
      <c r="C17" s="14"/>
      <c r="D17" s="26"/>
      <c r="E17" s="26"/>
      <c r="F17" s="26"/>
      <c r="G17" s="29" t="s">
        <v>42</v>
      </c>
      <c r="H17" s="16">
        <f>SUM(H14:H16)</f>
        <v>5290</v>
      </c>
      <c r="I17" s="36"/>
    </row>
    <row r="18" spans="1:13" x14ac:dyDescent="0.2">
      <c r="A18" s="34"/>
      <c r="B18" s="13"/>
      <c r="C18" s="14"/>
      <c r="D18" s="26"/>
      <c r="E18" s="26"/>
      <c r="F18" s="26"/>
      <c r="G18" s="29" t="s">
        <v>43</v>
      </c>
      <c r="H18" s="16">
        <f>H17</f>
        <v>5290</v>
      </c>
      <c r="I18" s="36"/>
    </row>
    <row r="19" spans="1:13" x14ac:dyDescent="0.2">
      <c r="A19" s="35"/>
      <c r="B19" s="5"/>
      <c r="C19" s="5"/>
      <c r="D19" s="5"/>
      <c r="E19" s="5"/>
      <c r="F19" s="5"/>
      <c r="G19" s="5"/>
      <c r="H19" s="5"/>
      <c r="I19" s="36"/>
    </row>
    <row r="20" spans="1:13" x14ac:dyDescent="0.2">
      <c r="A20" s="32" t="s">
        <v>44</v>
      </c>
      <c r="B20" s="4"/>
      <c r="C20" s="4"/>
      <c r="D20" s="4"/>
      <c r="E20" s="4"/>
      <c r="F20" s="4"/>
      <c r="G20" s="4"/>
      <c r="H20" s="4"/>
      <c r="I20" s="33"/>
      <c r="M20" s="8"/>
    </row>
    <row r="21" spans="1:13" x14ac:dyDescent="0.2">
      <c r="A21" s="34"/>
      <c r="B21" s="7" t="s">
        <v>27</v>
      </c>
      <c r="C21" s="7" t="s">
        <v>28</v>
      </c>
      <c r="D21" s="7" t="s">
        <v>11</v>
      </c>
      <c r="E21" s="7" t="s">
        <v>29</v>
      </c>
      <c r="F21" s="7" t="s">
        <v>31</v>
      </c>
      <c r="G21" s="7" t="s">
        <v>45</v>
      </c>
      <c r="H21" s="7" t="s">
        <v>46</v>
      </c>
      <c r="I21" s="33"/>
    </row>
    <row r="22" spans="1:13" x14ac:dyDescent="0.2">
      <c r="A22" s="34"/>
      <c r="B22" s="17"/>
      <c r="C22" s="53" t="s">
        <v>153</v>
      </c>
      <c r="D22" s="21" t="s">
        <v>113</v>
      </c>
      <c r="E22" s="42">
        <f>2/9</f>
        <v>0.22222222222222221</v>
      </c>
      <c r="F22" s="21">
        <v>400000</v>
      </c>
      <c r="G22" s="21">
        <v>1</v>
      </c>
      <c r="H22" s="22">
        <f>F22*E22*G22</f>
        <v>88888.888888888891</v>
      </c>
      <c r="I22" s="33"/>
      <c r="K22" s="9"/>
    </row>
    <row r="23" spans="1:13" x14ac:dyDescent="0.2">
      <c r="A23" s="34"/>
      <c r="B23" s="17"/>
      <c r="C23" s="53" t="s">
        <v>47</v>
      </c>
      <c r="D23" s="21" t="s">
        <v>48</v>
      </c>
      <c r="E23" s="21">
        <v>1</v>
      </c>
      <c r="F23" s="21">
        <f>H17*0.01</f>
        <v>52.9</v>
      </c>
      <c r="G23" s="21">
        <v>1</v>
      </c>
      <c r="H23" s="22">
        <f>F23*E23*G23</f>
        <v>52.9</v>
      </c>
      <c r="I23" s="33"/>
      <c r="K23" s="9"/>
    </row>
    <row r="24" spans="1:13" x14ac:dyDescent="0.2">
      <c r="A24" s="34"/>
      <c r="B24" s="10"/>
      <c r="C24" s="14"/>
      <c r="D24" s="15"/>
      <c r="E24" s="15"/>
      <c r="F24" s="15"/>
      <c r="G24" s="30" t="s">
        <v>49</v>
      </c>
      <c r="H24" s="27">
        <f>SUM(H22:H23)</f>
        <v>88941.788888888885</v>
      </c>
      <c r="I24" s="33"/>
      <c r="K24" s="9"/>
    </row>
    <row r="25" spans="1:13" x14ac:dyDescent="0.2">
      <c r="A25" s="34"/>
      <c r="B25" s="13"/>
      <c r="C25" s="14"/>
      <c r="D25" s="15"/>
      <c r="E25" s="15"/>
      <c r="F25" s="15"/>
      <c r="G25" s="30" t="s">
        <v>50</v>
      </c>
      <c r="H25" s="27">
        <f>H24/$H$8</f>
        <v>889.4178888888888</v>
      </c>
      <c r="I25" s="33"/>
      <c r="K25" s="9"/>
    </row>
    <row r="26" spans="1:13" x14ac:dyDescent="0.2">
      <c r="A26" s="32"/>
      <c r="B26" s="10"/>
      <c r="C26" s="4"/>
      <c r="D26" s="11"/>
      <c r="E26" s="11"/>
      <c r="F26" s="11"/>
      <c r="G26" s="11"/>
      <c r="H26" s="12"/>
      <c r="I26" s="33"/>
      <c r="K26" s="9"/>
    </row>
    <row r="27" spans="1:13" x14ac:dyDescent="0.2">
      <c r="A27" s="32" t="s">
        <v>51</v>
      </c>
      <c r="B27" s="10"/>
      <c r="C27" s="4"/>
      <c r="D27" s="11"/>
      <c r="E27" s="11"/>
      <c r="F27" s="11"/>
      <c r="G27" s="11"/>
      <c r="H27" s="12"/>
      <c r="I27" s="33"/>
    </row>
    <row r="28" spans="1:13" x14ac:dyDescent="0.2">
      <c r="A28" s="32"/>
      <c r="B28" s="7" t="s">
        <v>27</v>
      </c>
      <c r="C28" s="7" t="s">
        <v>28</v>
      </c>
      <c r="D28" s="7" t="s">
        <v>11</v>
      </c>
      <c r="E28" s="7" t="s">
        <v>29</v>
      </c>
      <c r="F28" s="7" t="s">
        <v>52</v>
      </c>
      <c r="G28" s="7"/>
      <c r="H28" s="7" t="s">
        <v>46</v>
      </c>
      <c r="I28" s="33"/>
    </row>
    <row r="29" spans="1:13" x14ac:dyDescent="0.2">
      <c r="A29" s="32"/>
      <c r="B29" s="17"/>
      <c r="C29" s="53" t="s">
        <v>117</v>
      </c>
      <c r="D29" s="21" t="s">
        <v>118</v>
      </c>
      <c r="E29" s="20">
        <f>E30/2</f>
        <v>0.5</v>
      </c>
      <c r="F29" s="18">
        <v>40000</v>
      </c>
      <c r="G29" s="21"/>
      <c r="H29" s="18">
        <f>E29*F29</f>
        <v>20000</v>
      </c>
      <c r="I29" s="33"/>
    </row>
    <row r="30" spans="1:13" x14ac:dyDescent="0.2">
      <c r="A30" s="32"/>
      <c r="B30" s="17"/>
      <c r="C30" s="53" t="s">
        <v>53</v>
      </c>
      <c r="D30" s="21" t="s">
        <v>118</v>
      </c>
      <c r="E30" s="20">
        <v>1</v>
      </c>
      <c r="F30" s="18">
        <v>35000</v>
      </c>
      <c r="G30" s="62"/>
      <c r="H30" s="18">
        <f>E30*F30</f>
        <v>35000</v>
      </c>
      <c r="I30" s="33"/>
    </row>
    <row r="31" spans="1:13" x14ac:dyDescent="0.2">
      <c r="A31" s="32"/>
      <c r="B31" s="17"/>
      <c r="C31" s="53" t="s">
        <v>55</v>
      </c>
      <c r="D31" s="21" t="s">
        <v>118</v>
      </c>
      <c r="E31" s="20">
        <v>1</v>
      </c>
      <c r="F31" s="18">
        <v>30000</v>
      </c>
      <c r="G31" s="62"/>
      <c r="H31" s="18">
        <f>E31*F31</f>
        <v>30000</v>
      </c>
      <c r="I31" s="33"/>
    </row>
    <row r="32" spans="1:13" x14ac:dyDescent="0.2">
      <c r="A32" s="32"/>
      <c r="B32" s="17"/>
      <c r="C32" s="53" t="s">
        <v>57</v>
      </c>
      <c r="D32" s="21" t="s">
        <v>118</v>
      </c>
      <c r="E32" s="20">
        <v>1</v>
      </c>
      <c r="F32" s="18">
        <v>25000</v>
      </c>
      <c r="G32" s="62"/>
      <c r="H32" s="18">
        <f t="shared" ref="H32" si="0">E32*F32</f>
        <v>25000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58</v>
      </c>
      <c r="H33" s="63">
        <f>SUM(H29:H32)</f>
        <v>110000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59</v>
      </c>
      <c r="H35" s="63">
        <f>H33</f>
        <v>110000</v>
      </c>
      <c r="I35" s="33"/>
    </row>
    <row r="36" spans="1:9" x14ac:dyDescent="0.2">
      <c r="A36" s="32"/>
      <c r="B36" s="10"/>
      <c r="C36" s="4"/>
      <c r="D36" s="11"/>
      <c r="E36" s="69">
        <v>0.56999999999999995</v>
      </c>
      <c r="F36" s="11"/>
      <c r="G36" s="30" t="s">
        <v>60</v>
      </c>
      <c r="H36" s="70">
        <f>H35*E36</f>
        <v>62699.999999999993</v>
      </c>
      <c r="I36" s="33"/>
    </row>
    <row r="37" spans="1:9" x14ac:dyDescent="0.2">
      <c r="A37" s="32"/>
      <c r="B37" s="10"/>
      <c r="C37" s="4"/>
      <c r="D37" s="11"/>
      <c r="E37" s="69">
        <v>0</v>
      </c>
      <c r="F37" s="11"/>
      <c r="G37" s="30" t="s">
        <v>61</v>
      </c>
      <c r="H37" s="63">
        <f>H35*E37</f>
        <v>0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1"/>
      <c r="H38" s="12"/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58</v>
      </c>
      <c r="H39" s="63">
        <f>H35+H36+H37</f>
        <v>172700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0" t="s">
        <v>62</v>
      </c>
      <c r="H40" s="71">
        <f>H39/$H$8</f>
        <v>1727</v>
      </c>
      <c r="I40" s="33"/>
    </row>
    <row r="41" spans="1:9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63</v>
      </c>
      <c r="H42" s="63">
        <f>H18+H25+H40</f>
        <v>7906.4178888888891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63"/>
      <c r="I43" s="33"/>
    </row>
    <row r="44" spans="1:9" x14ac:dyDescent="0.2">
      <c r="A44" s="32"/>
      <c r="B44" s="10"/>
      <c r="C44" s="4"/>
      <c r="D44" s="69">
        <v>0</v>
      </c>
      <c r="E44" s="11"/>
      <c r="F44" s="11"/>
      <c r="G44" s="28" t="s">
        <v>64</v>
      </c>
      <c r="H44" s="63">
        <f>D44*H42</f>
        <v>0</v>
      </c>
      <c r="I44" s="33"/>
    </row>
    <row r="45" spans="1:9" x14ac:dyDescent="0.2">
      <c r="A45" s="32"/>
      <c r="B45" s="10"/>
      <c r="C45" s="4"/>
      <c r="D45" s="11"/>
      <c r="E45" s="11"/>
      <c r="F45" s="11"/>
      <c r="G45" s="28" t="s">
        <v>65</v>
      </c>
      <c r="H45" s="63">
        <f>H42+H44</f>
        <v>7906.4178888888891</v>
      </c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66</v>
      </c>
      <c r="H46" s="63">
        <f>D46*H45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11"/>
      <c r="H47" s="12"/>
      <c r="I47" s="33"/>
    </row>
    <row r="48" spans="1:9" x14ac:dyDescent="0.2">
      <c r="A48" s="32"/>
      <c r="B48" s="10"/>
      <c r="C48" s="4"/>
      <c r="D48" s="11"/>
      <c r="E48" s="11"/>
      <c r="F48" s="11"/>
      <c r="H48" s="12"/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67</v>
      </c>
      <c r="H49" s="72">
        <f>H45+H46</f>
        <v>7906.4178888888891</v>
      </c>
      <c r="I49" s="33"/>
    </row>
    <row r="50" spans="1:9" x14ac:dyDescent="0.2">
      <c r="A50" s="32"/>
      <c r="B50" s="10"/>
      <c r="C50" s="4"/>
      <c r="D50" s="11"/>
      <c r="E50" s="11"/>
      <c r="F50" s="40"/>
      <c r="G50" s="41" t="s">
        <v>68</v>
      </c>
      <c r="H50" s="72">
        <f>(H18+H25+(H40*H10))</f>
        <v>7401.7046281585881</v>
      </c>
      <c r="I50" s="33"/>
    </row>
    <row r="51" spans="1:9" x14ac:dyDescent="0.2">
      <c r="A51" s="37"/>
      <c r="B51" s="38"/>
      <c r="C51" s="38"/>
      <c r="D51" s="38"/>
      <c r="E51" s="38"/>
      <c r="F51" s="38"/>
      <c r="G51" s="38"/>
      <c r="H51" s="38"/>
      <c r="I51" s="39"/>
    </row>
  </sheetData>
  <mergeCells count="1">
    <mergeCell ref="A7:I7"/>
  </mergeCells>
  <pageMargins left="0.7" right="0.7" top="0.75" bottom="0.75" header="0.3" footer="0.3"/>
  <pageSetup scale="9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2816F3-F647-4AB4-AAC3-BC82460CB302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C20F7-EE77-4651-9098-91C00AD359CA}">
  <dimension ref="A1:O53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3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3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3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3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3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3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3" x14ac:dyDescent="0.2">
      <c r="A7" s="202" t="s">
        <v>209</v>
      </c>
      <c r="B7" s="203"/>
      <c r="C7" s="203"/>
      <c r="D7" s="203"/>
      <c r="E7" s="203"/>
      <c r="F7" s="203"/>
      <c r="G7" s="203"/>
      <c r="H7" s="203"/>
      <c r="I7" s="204"/>
    </row>
    <row r="8" spans="1:13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3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3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3" x14ac:dyDescent="0.2">
      <c r="A11" s="32" t="s">
        <v>26</v>
      </c>
      <c r="B11" s="4"/>
      <c r="C11" s="4"/>
      <c r="D11" s="4"/>
      <c r="E11" s="4"/>
      <c r="F11" s="4"/>
      <c r="G11" s="4"/>
      <c r="H11" s="4"/>
      <c r="I11" s="36"/>
      <c r="J11" s="6"/>
    </row>
    <row r="12" spans="1:13" x14ac:dyDescent="0.2">
      <c r="A12" s="34"/>
      <c r="B12" s="7" t="s">
        <v>27</v>
      </c>
      <c r="C12" s="7" t="s">
        <v>28</v>
      </c>
      <c r="D12" s="7" t="s">
        <v>11</v>
      </c>
      <c r="E12" s="7" t="s">
        <v>29</v>
      </c>
      <c r="F12" s="7" t="s">
        <v>30</v>
      </c>
      <c r="G12" s="7" t="s">
        <v>31</v>
      </c>
      <c r="H12" s="7" t="s">
        <v>32</v>
      </c>
      <c r="I12" s="36"/>
    </row>
    <row r="13" spans="1:13" x14ac:dyDescent="0.2">
      <c r="A13" s="34"/>
      <c r="B13" s="7"/>
      <c r="C13" s="111" t="s">
        <v>210</v>
      </c>
      <c r="D13" s="102" t="s">
        <v>107</v>
      </c>
      <c r="E13" s="116">
        <v>1</v>
      </c>
      <c r="F13" s="102">
        <v>0</v>
      </c>
      <c r="G13" s="119">
        <f>95*F9</f>
        <v>85007.900000000009</v>
      </c>
      <c r="H13" s="106">
        <f t="shared" ref="H13:H20" si="0">G13*E13*(F13+1)</f>
        <v>85007.900000000009</v>
      </c>
      <c r="I13" s="36"/>
    </row>
    <row r="14" spans="1:13" x14ac:dyDescent="0.2">
      <c r="A14" s="34"/>
      <c r="B14" s="7"/>
      <c r="C14" s="111" t="s">
        <v>211</v>
      </c>
      <c r="D14" s="102" t="s">
        <v>107</v>
      </c>
      <c r="E14" s="116">
        <v>1</v>
      </c>
      <c r="F14" s="102">
        <v>0</v>
      </c>
      <c r="G14" s="119">
        <f>80*F9</f>
        <v>71585.600000000006</v>
      </c>
      <c r="H14" s="106">
        <f t="shared" si="0"/>
        <v>71585.600000000006</v>
      </c>
      <c r="I14" s="36"/>
    </row>
    <row r="15" spans="1:13" x14ac:dyDescent="0.2">
      <c r="A15" s="34"/>
      <c r="B15" s="7"/>
      <c r="C15" s="83" t="s">
        <v>212</v>
      </c>
      <c r="D15" s="56" t="s">
        <v>107</v>
      </c>
      <c r="E15" s="54">
        <v>2</v>
      </c>
      <c r="F15" s="56">
        <v>0</v>
      </c>
      <c r="G15" s="95">
        <v>2950</v>
      </c>
      <c r="H15" s="58">
        <f t="shared" si="0"/>
        <v>5900</v>
      </c>
      <c r="I15" s="36"/>
      <c r="M15" s="1" t="s">
        <v>213</v>
      </c>
    </row>
    <row r="16" spans="1:13" x14ac:dyDescent="0.2">
      <c r="A16" s="34"/>
      <c r="B16" s="7"/>
      <c r="C16" s="83" t="s">
        <v>214</v>
      </c>
      <c r="D16" s="56" t="s">
        <v>215</v>
      </c>
      <c r="E16" s="54">
        <v>6</v>
      </c>
      <c r="F16" s="56">
        <v>0.05</v>
      </c>
      <c r="G16" s="95">
        <v>1459</v>
      </c>
      <c r="H16" s="58">
        <f t="shared" si="0"/>
        <v>9191.7000000000007</v>
      </c>
      <c r="I16" s="36"/>
    </row>
    <row r="17" spans="1:15" x14ac:dyDescent="0.2">
      <c r="A17" s="34"/>
      <c r="B17" s="7"/>
      <c r="C17" s="83" t="s">
        <v>216</v>
      </c>
      <c r="D17" s="56" t="s">
        <v>215</v>
      </c>
      <c r="E17" s="54">
        <v>6</v>
      </c>
      <c r="F17" s="56">
        <v>0.05</v>
      </c>
      <c r="G17" s="95">
        <v>1459</v>
      </c>
      <c r="H17" s="58">
        <f t="shared" si="0"/>
        <v>9191.7000000000007</v>
      </c>
      <c r="I17" s="36"/>
      <c r="M17" s="1" t="s">
        <v>217</v>
      </c>
    </row>
    <row r="18" spans="1:15" x14ac:dyDescent="0.2">
      <c r="A18" s="34"/>
      <c r="B18" s="7"/>
      <c r="C18" s="83" t="s">
        <v>218</v>
      </c>
      <c r="D18" s="56" t="s">
        <v>219</v>
      </c>
      <c r="E18" s="54">
        <v>3</v>
      </c>
      <c r="F18" s="56">
        <v>0</v>
      </c>
      <c r="G18" s="95">
        <v>4590</v>
      </c>
      <c r="H18" s="58">
        <f t="shared" si="0"/>
        <v>13770</v>
      </c>
      <c r="I18" s="36"/>
    </row>
    <row r="19" spans="1:15" x14ac:dyDescent="0.2">
      <c r="A19" s="34"/>
      <c r="B19" s="7"/>
      <c r="C19" s="83" t="s">
        <v>220</v>
      </c>
      <c r="D19" s="56" t="s">
        <v>107</v>
      </c>
      <c r="E19" s="54">
        <v>1</v>
      </c>
      <c r="F19" s="56">
        <v>0</v>
      </c>
      <c r="G19" s="95">
        <v>18900</v>
      </c>
      <c r="H19" s="58">
        <f t="shared" si="0"/>
        <v>18900</v>
      </c>
      <c r="I19" s="36"/>
    </row>
    <row r="20" spans="1:15" x14ac:dyDescent="0.2">
      <c r="A20" s="34"/>
      <c r="B20" s="17"/>
      <c r="C20" s="53" t="s">
        <v>221</v>
      </c>
      <c r="D20" s="56" t="s">
        <v>107</v>
      </c>
      <c r="E20" s="54">
        <v>2</v>
      </c>
      <c r="F20" s="56">
        <v>0</v>
      </c>
      <c r="G20" s="95">
        <f>5690*1.5</f>
        <v>8535</v>
      </c>
      <c r="H20" s="58">
        <f t="shared" si="0"/>
        <v>17070</v>
      </c>
      <c r="I20" s="36"/>
    </row>
    <row r="21" spans="1:15" x14ac:dyDescent="0.2">
      <c r="A21" s="34"/>
      <c r="B21" s="13"/>
      <c r="C21" s="14"/>
      <c r="D21" s="26"/>
      <c r="E21" s="26"/>
      <c r="F21" s="26"/>
      <c r="G21" s="29" t="s">
        <v>42</v>
      </c>
      <c r="H21" s="16">
        <f>SUM(H13:H20)</f>
        <v>230616.90000000002</v>
      </c>
      <c r="I21" s="36"/>
    </row>
    <row r="22" spans="1:15" x14ac:dyDescent="0.2">
      <c r="A22" s="34"/>
      <c r="B22" s="13"/>
      <c r="C22" s="14"/>
      <c r="D22" s="26"/>
      <c r="E22" s="26"/>
      <c r="F22" s="26"/>
      <c r="G22" s="29" t="s">
        <v>43</v>
      </c>
      <c r="H22" s="16">
        <f>H21</f>
        <v>230616.90000000002</v>
      </c>
      <c r="I22" s="36"/>
      <c r="M22" s="1" t="s">
        <v>222</v>
      </c>
      <c r="O22" s="1" t="s">
        <v>223</v>
      </c>
    </row>
    <row r="23" spans="1:15" x14ac:dyDescent="0.2">
      <c r="A23" s="35"/>
      <c r="B23" s="5"/>
      <c r="C23" s="5"/>
      <c r="D23" s="5"/>
      <c r="E23" s="5"/>
      <c r="F23" s="5"/>
      <c r="G23" s="5"/>
      <c r="H23" s="5"/>
      <c r="I23" s="36"/>
    </row>
    <row r="24" spans="1:15" x14ac:dyDescent="0.2">
      <c r="A24" s="32" t="s">
        <v>44</v>
      </c>
      <c r="B24" s="4"/>
      <c r="C24" s="4"/>
      <c r="D24" s="4"/>
      <c r="E24" s="4"/>
      <c r="F24" s="4"/>
      <c r="G24" s="4"/>
      <c r="H24" s="4"/>
      <c r="I24" s="33"/>
      <c r="M24" s="8">
        <f>H51</f>
        <v>341174.56900000002</v>
      </c>
      <c r="O24" s="125">
        <f>M24-H14</f>
        <v>269588.96900000004</v>
      </c>
    </row>
    <row r="25" spans="1:15" x14ac:dyDescent="0.2">
      <c r="A25" s="34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31</v>
      </c>
      <c r="G25" s="7" t="s">
        <v>45</v>
      </c>
      <c r="H25" s="7" t="s">
        <v>46</v>
      </c>
      <c r="I25" s="33"/>
    </row>
    <row r="26" spans="1:15" x14ac:dyDescent="0.2">
      <c r="A26" s="34"/>
      <c r="B26" s="17"/>
      <c r="C26" s="53" t="s">
        <v>47</v>
      </c>
      <c r="D26" s="21" t="s">
        <v>48</v>
      </c>
      <c r="E26" s="21">
        <v>1</v>
      </c>
      <c r="F26" s="21">
        <f>H21*0.01</f>
        <v>2306.1690000000003</v>
      </c>
      <c r="G26" s="21">
        <v>1</v>
      </c>
      <c r="H26" s="22">
        <f>F26*E26*G26</f>
        <v>2306.1690000000003</v>
      </c>
      <c r="I26" s="33"/>
      <c r="K26" s="9"/>
    </row>
    <row r="27" spans="1:15" ht="12" thickBot="1" x14ac:dyDescent="0.25">
      <c r="A27" s="34"/>
      <c r="B27" s="13"/>
      <c r="C27" s="14"/>
      <c r="D27" s="15"/>
      <c r="E27" s="15"/>
      <c r="F27" s="15"/>
      <c r="G27" s="30" t="s">
        <v>49</v>
      </c>
      <c r="H27" s="27">
        <f>SUM(H25:H26)</f>
        <v>2306.1690000000003</v>
      </c>
      <c r="I27" s="33"/>
      <c r="K27" s="9"/>
    </row>
    <row r="28" spans="1:15" ht="12" thickBot="1" x14ac:dyDescent="0.25">
      <c r="A28" s="34"/>
      <c r="B28" s="13"/>
      <c r="C28" s="14"/>
      <c r="D28" s="15"/>
      <c r="E28" s="15"/>
      <c r="F28" s="15"/>
      <c r="G28" s="30" t="s">
        <v>50</v>
      </c>
      <c r="H28" s="27">
        <f>H27/$H$8</f>
        <v>2306.1690000000003</v>
      </c>
      <c r="I28" s="33"/>
      <c r="K28" s="9"/>
      <c r="M28" s="97" t="s">
        <v>115</v>
      </c>
      <c r="N28" s="100">
        <f>O24/M24</f>
        <v>0.79017896846819213</v>
      </c>
    </row>
    <row r="29" spans="1:15" x14ac:dyDescent="0.2">
      <c r="A29" s="32" t="s">
        <v>51</v>
      </c>
      <c r="B29" s="10"/>
      <c r="C29" s="4"/>
      <c r="D29" s="11"/>
      <c r="E29" s="11"/>
      <c r="F29" s="11"/>
      <c r="G29" s="11"/>
      <c r="H29" s="12"/>
      <c r="I29" s="33"/>
      <c r="K29" s="9"/>
    </row>
    <row r="30" spans="1:15" x14ac:dyDescent="0.2">
      <c r="A30" s="32"/>
      <c r="B30" s="7" t="s">
        <v>27</v>
      </c>
      <c r="C30" s="7" t="s">
        <v>28</v>
      </c>
      <c r="D30" s="7" t="s">
        <v>11</v>
      </c>
      <c r="E30" s="7" t="s">
        <v>29</v>
      </c>
      <c r="F30" s="7" t="s">
        <v>52</v>
      </c>
      <c r="G30" s="7"/>
      <c r="H30" s="7" t="s">
        <v>46</v>
      </c>
      <c r="I30" s="33"/>
      <c r="K30" s="9"/>
    </row>
    <row r="31" spans="1:15" x14ac:dyDescent="0.2">
      <c r="A31" s="32"/>
      <c r="B31" s="17"/>
      <c r="C31" s="53" t="s">
        <v>117</v>
      </c>
      <c r="D31" s="21" t="s">
        <v>118</v>
      </c>
      <c r="E31" s="20">
        <v>0.13</v>
      </c>
      <c r="F31" s="18">
        <v>40000</v>
      </c>
      <c r="G31" s="21"/>
      <c r="H31" s="18">
        <f>E31*F31</f>
        <v>5200</v>
      </c>
      <c r="I31" s="33"/>
    </row>
    <row r="32" spans="1:15" x14ac:dyDescent="0.2">
      <c r="A32" s="32"/>
      <c r="B32" s="17"/>
      <c r="C32" s="53" t="s">
        <v>53</v>
      </c>
      <c r="D32" s="21" t="s">
        <v>118</v>
      </c>
      <c r="E32" s="20">
        <v>0.25</v>
      </c>
      <c r="F32" s="18">
        <v>35000</v>
      </c>
      <c r="G32" s="21"/>
      <c r="H32" s="18">
        <f>E32*F32</f>
        <v>8750</v>
      </c>
      <c r="I32" s="33"/>
    </row>
    <row r="33" spans="1:9" x14ac:dyDescent="0.2">
      <c r="A33" s="32"/>
      <c r="B33" s="17"/>
      <c r="C33" s="53" t="s">
        <v>55</v>
      </c>
      <c r="D33" s="21" t="s">
        <v>118</v>
      </c>
      <c r="E33" s="20">
        <v>1</v>
      </c>
      <c r="F33" s="18">
        <v>30000</v>
      </c>
      <c r="G33" s="62"/>
      <c r="H33" s="18">
        <f>E33*F33</f>
        <v>30000</v>
      </c>
      <c r="I33" s="33"/>
    </row>
    <row r="34" spans="1:9" x14ac:dyDescent="0.2">
      <c r="A34" s="32"/>
      <c r="B34" s="17"/>
      <c r="C34" s="53" t="s">
        <v>57</v>
      </c>
      <c r="D34" s="21" t="s">
        <v>118</v>
      </c>
      <c r="E34" s="20">
        <v>1</v>
      </c>
      <c r="F34" s="18">
        <v>25000</v>
      </c>
      <c r="G34" s="62"/>
      <c r="H34" s="18">
        <f t="shared" ref="H34" si="1">E34*F34</f>
        <v>25000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SUM(H31:H34)</f>
        <v>68950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59</v>
      </c>
      <c r="H37" s="63">
        <f>H35</f>
        <v>68950</v>
      </c>
      <c r="I37" s="33"/>
    </row>
    <row r="38" spans="1:9" x14ac:dyDescent="0.2">
      <c r="A38" s="32"/>
      <c r="B38" s="10"/>
      <c r="C38" s="4"/>
      <c r="D38" s="11"/>
      <c r="E38" s="69">
        <v>0.56999999999999995</v>
      </c>
      <c r="F38" s="11"/>
      <c r="G38" s="30" t="s">
        <v>60</v>
      </c>
      <c r="H38" s="70">
        <f>H37*E38</f>
        <v>39301.5</v>
      </c>
      <c r="I38" s="33"/>
    </row>
    <row r="39" spans="1:9" x14ac:dyDescent="0.2">
      <c r="A39" s="32"/>
      <c r="B39" s="10"/>
      <c r="C39" s="4"/>
      <c r="D39" s="11"/>
      <c r="E39" s="69">
        <v>0</v>
      </c>
      <c r="F39" s="11"/>
      <c r="G39" s="30" t="s">
        <v>61</v>
      </c>
      <c r="H39" s="63">
        <f>H37*E39</f>
        <v>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58</v>
      </c>
      <c r="H41" s="63">
        <f>H37+H38+H39</f>
        <v>108251.5</v>
      </c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62</v>
      </c>
      <c r="H42" s="71">
        <f>H41/$H$8</f>
        <v>108251.5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G44" s="30" t="s">
        <v>63</v>
      </c>
      <c r="H44" s="63">
        <f>H22+H28+H42</f>
        <v>341174.56900000002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63"/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64</v>
      </c>
      <c r="H46" s="63">
        <f>D46*H44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28" t="s">
        <v>65</v>
      </c>
      <c r="H47" s="63">
        <f>H44+H46</f>
        <v>341174.56900000002</v>
      </c>
      <c r="I47" s="33"/>
    </row>
    <row r="48" spans="1:9" x14ac:dyDescent="0.2">
      <c r="A48" s="32"/>
      <c r="B48" s="10"/>
      <c r="C48" s="4"/>
      <c r="D48" s="69">
        <v>0</v>
      </c>
      <c r="E48" s="11"/>
      <c r="F48" s="11"/>
      <c r="G48" s="28" t="s">
        <v>66</v>
      </c>
      <c r="H48" s="63">
        <f>D48*H47</f>
        <v>0</v>
      </c>
      <c r="I48" s="33"/>
    </row>
    <row r="49" spans="1:9" x14ac:dyDescent="0.2">
      <c r="A49" s="32"/>
      <c r="B49" s="10"/>
      <c r="C49" s="4"/>
      <c r="D49" s="11"/>
      <c r="E49" s="11"/>
      <c r="F49" s="11"/>
      <c r="G49" s="11"/>
      <c r="H49" s="12"/>
      <c r="I49" s="33"/>
    </row>
    <row r="50" spans="1:9" x14ac:dyDescent="0.2">
      <c r="A50" s="32"/>
      <c r="B50" s="10"/>
      <c r="C50" s="4"/>
      <c r="D50" s="11"/>
      <c r="E50" s="11"/>
      <c r="F50" s="11"/>
      <c r="H50" s="12"/>
      <c r="I50" s="33"/>
    </row>
    <row r="51" spans="1:9" x14ac:dyDescent="0.2">
      <c r="A51" s="32"/>
      <c r="B51" s="10"/>
      <c r="C51" s="4"/>
      <c r="D51" s="11"/>
      <c r="E51" s="11"/>
      <c r="F51" s="40"/>
      <c r="G51" s="41" t="s">
        <v>67</v>
      </c>
      <c r="H51" s="72">
        <f>H47+H48</f>
        <v>341174.56900000002</v>
      </c>
      <c r="I51" s="33"/>
    </row>
    <row r="52" spans="1:9" x14ac:dyDescent="0.2">
      <c r="A52" s="32"/>
      <c r="B52" s="10"/>
      <c r="C52" s="4"/>
      <c r="D52" s="11"/>
      <c r="E52" s="11"/>
      <c r="F52" s="40"/>
      <c r="G52" s="41" t="s">
        <v>68</v>
      </c>
      <c r="H52" s="72">
        <f>(H22+H28+(H42*H10))</f>
        <v>309538.22415695072</v>
      </c>
      <c r="I52" s="33"/>
    </row>
    <row r="53" spans="1:9" ht="12" thickBot="1" x14ac:dyDescent="0.25">
      <c r="A53" s="37"/>
      <c r="B53" s="38"/>
      <c r="C53" s="38"/>
      <c r="D53" s="38"/>
      <c r="E53" s="38"/>
      <c r="F53" s="38"/>
      <c r="G53" s="38"/>
      <c r="H53" s="38"/>
      <c r="I53" s="39"/>
    </row>
  </sheetData>
  <mergeCells count="1">
    <mergeCell ref="A7:I7"/>
  </mergeCells>
  <pageMargins left="0.7" right="0.7" top="0.75" bottom="0.75" header="0.3" footer="0.3"/>
  <pageSetup scale="9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5BD8A0-F06A-4E46-83AD-EB7A26ACCC66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3662A-AE78-4C3E-8946-C96535D25455}">
  <dimension ref="A1:O53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224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2" t="s">
        <v>26</v>
      </c>
      <c r="B11" s="4"/>
      <c r="C11" s="4"/>
      <c r="D11" s="4"/>
      <c r="E11" s="4"/>
      <c r="F11" s="4"/>
      <c r="G11" s="4"/>
      <c r="H11" s="4"/>
      <c r="I11" s="36"/>
      <c r="J11" s="6"/>
    </row>
    <row r="12" spans="1:11" x14ac:dyDescent="0.2">
      <c r="A12" s="34"/>
      <c r="B12" s="7" t="s">
        <v>27</v>
      </c>
      <c r="C12" s="7" t="s">
        <v>28</v>
      </c>
      <c r="D12" s="7" t="s">
        <v>11</v>
      </c>
      <c r="E12" s="7" t="s">
        <v>29</v>
      </c>
      <c r="F12" s="7" t="s">
        <v>30</v>
      </c>
      <c r="G12" s="7" t="s">
        <v>31</v>
      </c>
      <c r="H12" s="7" t="s">
        <v>32</v>
      </c>
      <c r="I12" s="36"/>
    </row>
    <row r="13" spans="1:11" x14ac:dyDescent="0.2">
      <c r="A13" s="34"/>
      <c r="B13" s="7"/>
      <c r="C13" s="111" t="s">
        <v>225</v>
      </c>
      <c r="D13" s="102" t="s">
        <v>107</v>
      </c>
      <c r="E13" s="116">
        <v>1</v>
      </c>
      <c r="F13" s="102">
        <v>0</v>
      </c>
      <c r="G13" s="119">
        <f>425*F9</f>
        <v>380298.5</v>
      </c>
      <c r="H13" s="106">
        <v>380000</v>
      </c>
      <c r="I13" s="36"/>
    </row>
    <row r="14" spans="1:11" x14ac:dyDescent="0.2">
      <c r="A14" s="34"/>
      <c r="B14" s="7"/>
      <c r="C14" s="187"/>
      <c r="D14" s="188"/>
      <c r="E14" s="189"/>
      <c r="F14" s="188"/>
      <c r="G14" s="190"/>
      <c r="H14" s="173"/>
      <c r="I14" s="36"/>
    </row>
    <row r="15" spans="1:11" x14ac:dyDescent="0.2">
      <c r="A15" s="34"/>
      <c r="B15" s="7"/>
      <c r="C15" s="83"/>
      <c r="D15" s="56"/>
      <c r="E15" s="54"/>
      <c r="F15" s="56"/>
      <c r="G15" s="95"/>
      <c r="H15" s="58"/>
      <c r="I15" s="36"/>
    </row>
    <row r="16" spans="1:11" x14ac:dyDescent="0.2">
      <c r="A16" s="34"/>
      <c r="B16" s="7"/>
      <c r="C16" s="83"/>
      <c r="D16" s="56"/>
      <c r="E16" s="54"/>
      <c r="F16" s="56"/>
      <c r="G16" s="95"/>
      <c r="H16" s="58"/>
      <c r="I16" s="36"/>
    </row>
    <row r="17" spans="1:15" x14ac:dyDescent="0.2">
      <c r="A17" s="34"/>
      <c r="B17" s="7"/>
      <c r="C17" s="83"/>
      <c r="D17" s="56"/>
      <c r="E17" s="54"/>
      <c r="F17" s="56"/>
      <c r="G17" s="95"/>
      <c r="H17" s="58"/>
      <c r="I17" s="36"/>
    </row>
    <row r="18" spans="1:15" x14ac:dyDescent="0.2">
      <c r="A18" s="34"/>
      <c r="B18" s="7"/>
      <c r="C18" s="83"/>
      <c r="D18" s="56"/>
      <c r="E18" s="54"/>
      <c r="F18" s="56"/>
      <c r="G18" s="95"/>
      <c r="H18" s="58"/>
      <c r="I18" s="36"/>
    </row>
    <row r="19" spans="1:15" x14ac:dyDescent="0.2">
      <c r="A19" s="34"/>
      <c r="B19" s="7"/>
      <c r="C19" s="83"/>
      <c r="D19" s="56"/>
      <c r="E19" s="54"/>
      <c r="F19" s="56"/>
      <c r="G19" s="95"/>
      <c r="H19" s="58"/>
      <c r="I19" s="36"/>
      <c r="K19" s="186"/>
    </row>
    <row r="20" spans="1:15" x14ac:dyDescent="0.2">
      <c r="A20" s="34"/>
      <c r="B20" s="17"/>
      <c r="C20" s="53"/>
      <c r="D20" s="56"/>
      <c r="E20" s="54"/>
      <c r="F20" s="56"/>
      <c r="G20" s="95"/>
      <c r="H20" s="58"/>
      <c r="I20" s="36"/>
    </row>
    <row r="21" spans="1:15" x14ac:dyDescent="0.2">
      <c r="A21" s="34"/>
      <c r="B21" s="13"/>
      <c r="C21" s="14"/>
      <c r="D21" s="26"/>
      <c r="E21" s="26"/>
      <c r="F21" s="26"/>
      <c r="G21" s="29" t="s">
        <v>42</v>
      </c>
      <c r="H21" s="16">
        <f>SUM(H13:H20)</f>
        <v>380000</v>
      </c>
      <c r="I21" s="36"/>
    </row>
    <row r="22" spans="1:15" x14ac:dyDescent="0.2">
      <c r="A22" s="34"/>
      <c r="B22" s="13"/>
      <c r="C22" s="14"/>
      <c r="D22" s="26"/>
      <c r="E22" s="26"/>
      <c r="F22" s="26"/>
      <c r="G22" s="29" t="s">
        <v>43</v>
      </c>
      <c r="H22" s="16">
        <f>H21</f>
        <v>380000</v>
      </c>
      <c r="I22" s="36"/>
    </row>
    <row r="23" spans="1:15" x14ac:dyDescent="0.2">
      <c r="A23" s="35"/>
      <c r="B23" s="5"/>
      <c r="C23" s="5"/>
      <c r="D23" s="5"/>
      <c r="E23" s="5"/>
      <c r="F23" s="5"/>
      <c r="G23" s="5"/>
      <c r="H23" s="5"/>
      <c r="I23" s="36"/>
    </row>
    <row r="24" spans="1:15" x14ac:dyDescent="0.2">
      <c r="A24" s="32" t="s">
        <v>44</v>
      </c>
      <c r="B24" s="4"/>
      <c r="C24" s="4"/>
      <c r="D24" s="4"/>
      <c r="E24" s="4"/>
      <c r="F24" s="4"/>
      <c r="G24" s="4"/>
      <c r="H24" s="4"/>
      <c r="I24" s="33"/>
      <c r="M24" s="8"/>
      <c r="O24" s="125"/>
    </row>
    <row r="25" spans="1:15" x14ac:dyDescent="0.2">
      <c r="A25" s="34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31</v>
      </c>
      <c r="G25" s="7" t="s">
        <v>45</v>
      </c>
      <c r="H25" s="7" t="s">
        <v>46</v>
      </c>
      <c r="I25" s="33"/>
    </row>
    <row r="26" spans="1:15" x14ac:dyDescent="0.2">
      <c r="A26" s="34"/>
      <c r="B26" s="17"/>
      <c r="C26" s="53" t="s">
        <v>47</v>
      </c>
      <c r="D26" s="21" t="s">
        <v>48</v>
      </c>
      <c r="E26" s="21">
        <v>1</v>
      </c>
      <c r="F26" s="21">
        <f>H21*0.01</f>
        <v>3800</v>
      </c>
      <c r="G26" s="21">
        <v>1</v>
      </c>
      <c r="H26" s="22">
        <f>F26*E26*G26</f>
        <v>3800</v>
      </c>
      <c r="I26" s="33"/>
      <c r="K26" s="9"/>
    </row>
    <row r="27" spans="1:15" x14ac:dyDescent="0.2">
      <c r="A27" s="34"/>
      <c r="B27" s="13"/>
      <c r="C27" s="14"/>
      <c r="D27" s="15"/>
      <c r="E27" s="15"/>
      <c r="F27" s="15"/>
      <c r="G27" s="30" t="s">
        <v>49</v>
      </c>
      <c r="H27" s="27">
        <f>SUM(H25:H26)</f>
        <v>3800</v>
      </c>
      <c r="I27" s="33"/>
      <c r="K27" s="9"/>
    </row>
    <row r="28" spans="1:15" x14ac:dyDescent="0.2">
      <c r="A28" s="34"/>
      <c r="B28" s="13"/>
      <c r="C28" s="14"/>
      <c r="D28" s="15"/>
      <c r="E28" s="15"/>
      <c r="F28" s="15"/>
      <c r="G28" s="30" t="s">
        <v>50</v>
      </c>
      <c r="H28" s="27">
        <f>H27/$H$8</f>
        <v>3800</v>
      </c>
      <c r="I28" s="33"/>
      <c r="K28" s="9"/>
    </row>
    <row r="29" spans="1:15" x14ac:dyDescent="0.2">
      <c r="A29" s="32" t="s">
        <v>51</v>
      </c>
      <c r="B29" s="10"/>
      <c r="C29" s="4"/>
      <c r="D29" s="11"/>
      <c r="E29" s="11"/>
      <c r="F29" s="11"/>
      <c r="G29" s="11"/>
      <c r="H29" s="12"/>
      <c r="I29" s="33"/>
      <c r="K29" s="9"/>
    </row>
    <row r="30" spans="1:15" x14ac:dyDescent="0.2">
      <c r="A30" s="32"/>
      <c r="B30" s="7" t="s">
        <v>27</v>
      </c>
      <c r="C30" s="7" t="s">
        <v>28</v>
      </c>
      <c r="D30" s="7" t="s">
        <v>11</v>
      </c>
      <c r="E30" s="7" t="s">
        <v>29</v>
      </c>
      <c r="F30" s="7" t="s">
        <v>52</v>
      </c>
      <c r="G30" s="7"/>
      <c r="H30" s="7" t="s">
        <v>46</v>
      </c>
      <c r="I30" s="33"/>
      <c r="K30" s="9"/>
    </row>
    <row r="31" spans="1:15" x14ac:dyDescent="0.2">
      <c r="A31" s="32"/>
      <c r="B31" s="17"/>
      <c r="C31" s="53" t="s">
        <v>117</v>
      </c>
      <c r="D31" s="21" t="s">
        <v>118</v>
      </c>
      <c r="E31" s="20">
        <f>0.5/9</f>
        <v>5.5555555555555552E-2</v>
      </c>
      <c r="F31" s="18">
        <v>40000</v>
      </c>
      <c r="G31" s="21"/>
      <c r="H31" s="18">
        <f>E31*F31</f>
        <v>2222.2222222222222</v>
      </c>
      <c r="I31" s="33"/>
    </row>
    <row r="32" spans="1:15" x14ac:dyDescent="0.2">
      <c r="A32" s="32"/>
      <c r="B32" s="17"/>
      <c r="C32" s="53" t="s">
        <v>53</v>
      </c>
      <c r="D32" s="21" t="s">
        <v>118</v>
      </c>
      <c r="E32" s="20">
        <f>1/9</f>
        <v>0.1111111111111111</v>
      </c>
      <c r="F32" s="18">
        <v>35000</v>
      </c>
      <c r="G32" s="21"/>
      <c r="H32" s="18">
        <f>E32*F32</f>
        <v>3888.8888888888887</v>
      </c>
      <c r="I32" s="33"/>
    </row>
    <row r="33" spans="1:9" x14ac:dyDescent="0.2">
      <c r="A33" s="32"/>
      <c r="B33" s="17"/>
      <c r="C33" s="53" t="s">
        <v>55</v>
      </c>
      <c r="D33" s="21" t="s">
        <v>118</v>
      </c>
      <c r="E33" s="20"/>
      <c r="F33" s="18">
        <v>30000</v>
      </c>
      <c r="G33" s="62"/>
      <c r="H33" s="18">
        <f>E33*F33</f>
        <v>0</v>
      </c>
      <c r="I33" s="33"/>
    </row>
    <row r="34" spans="1:9" x14ac:dyDescent="0.2">
      <c r="A34" s="32"/>
      <c r="B34" s="17"/>
      <c r="C34" s="53" t="s">
        <v>57</v>
      </c>
      <c r="D34" s="21" t="s">
        <v>118</v>
      </c>
      <c r="E34" s="20"/>
      <c r="F34" s="18">
        <v>25000</v>
      </c>
      <c r="G34" s="62"/>
      <c r="H34" s="18">
        <f t="shared" ref="H34" si="0">E34*F34</f>
        <v>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SUM(H31:H34)</f>
        <v>6111.1111111111113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59</v>
      </c>
      <c r="H37" s="63">
        <f>H35</f>
        <v>6111.1111111111113</v>
      </c>
      <c r="I37" s="33"/>
    </row>
    <row r="38" spans="1:9" x14ac:dyDescent="0.2">
      <c r="A38" s="32"/>
      <c r="B38" s="10"/>
      <c r="C38" s="4"/>
      <c r="D38" s="11"/>
      <c r="E38" s="69">
        <v>0.56999999999999995</v>
      </c>
      <c r="F38" s="11"/>
      <c r="G38" s="30" t="s">
        <v>60</v>
      </c>
      <c r="H38" s="70">
        <f>H37*E38</f>
        <v>3483.333333333333</v>
      </c>
      <c r="I38" s="33"/>
    </row>
    <row r="39" spans="1:9" x14ac:dyDescent="0.2">
      <c r="A39" s="32"/>
      <c r="B39" s="10"/>
      <c r="C39" s="4"/>
      <c r="D39" s="11"/>
      <c r="E39" s="69">
        <v>0</v>
      </c>
      <c r="F39" s="11"/>
      <c r="G39" s="30" t="s">
        <v>61</v>
      </c>
      <c r="H39" s="63">
        <f>H37*E39</f>
        <v>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58</v>
      </c>
      <c r="H41" s="63">
        <f>H37+H38+H39</f>
        <v>9594.4444444444453</v>
      </c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62</v>
      </c>
      <c r="H42" s="71">
        <f>H41/$H$8</f>
        <v>9594.4444444444453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G44" s="30" t="s">
        <v>63</v>
      </c>
      <c r="H44" s="63">
        <f>H22+H28+H42</f>
        <v>393394.44444444444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63"/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64</v>
      </c>
      <c r="H46" s="63">
        <f>D46*H44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28" t="s">
        <v>65</v>
      </c>
      <c r="H47" s="63">
        <f>H44+H46</f>
        <v>393394.44444444444</v>
      </c>
      <c r="I47" s="33"/>
    </row>
    <row r="48" spans="1:9" x14ac:dyDescent="0.2">
      <c r="A48" s="32"/>
      <c r="B48" s="10"/>
      <c r="C48" s="4"/>
      <c r="D48" s="69">
        <v>0</v>
      </c>
      <c r="E48" s="11"/>
      <c r="F48" s="11"/>
      <c r="G48" s="28" t="s">
        <v>66</v>
      </c>
      <c r="H48" s="63">
        <f>D48*H47</f>
        <v>0</v>
      </c>
      <c r="I48" s="33"/>
    </row>
    <row r="49" spans="1:9" x14ac:dyDescent="0.2">
      <c r="A49" s="32"/>
      <c r="B49" s="10"/>
      <c r="C49" s="4"/>
      <c r="D49" s="11"/>
      <c r="E49" s="11"/>
      <c r="F49" s="11"/>
      <c r="G49" s="11"/>
      <c r="H49" s="12"/>
      <c r="I49" s="33"/>
    </row>
    <row r="50" spans="1:9" x14ac:dyDescent="0.2">
      <c r="A50" s="32"/>
      <c r="B50" s="10"/>
      <c r="C50" s="4"/>
      <c r="D50" s="11"/>
      <c r="E50" s="11"/>
      <c r="F50" s="11"/>
      <c r="H50" s="12"/>
      <c r="I50" s="33"/>
    </row>
    <row r="51" spans="1:9" x14ac:dyDescent="0.2">
      <c r="A51" s="32"/>
      <c r="B51" s="10"/>
      <c r="C51" s="4"/>
      <c r="D51" s="11"/>
      <c r="E51" s="11"/>
      <c r="F51" s="40"/>
      <c r="G51" s="41" t="s">
        <v>67</v>
      </c>
      <c r="H51" s="72">
        <f>H47+H48</f>
        <v>393394.44444444444</v>
      </c>
      <c r="I51" s="33"/>
    </row>
    <row r="52" spans="1:9" x14ac:dyDescent="0.2">
      <c r="A52" s="32"/>
      <c r="B52" s="10"/>
      <c r="C52" s="4"/>
      <c r="D52" s="11"/>
      <c r="E52" s="11"/>
      <c r="F52" s="40"/>
      <c r="G52" s="41" t="s">
        <v>68</v>
      </c>
      <c r="H52" s="72">
        <f>(H22+H28+(H42*H10))</f>
        <v>390590.48188483168</v>
      </c>
      <c r="I52" s="33"/>
    </row>
    <row r="53" spans="1:9" ht="12" thickBot="1" x14ac:dyDescent="0.25">
      <c r="A53" s="37"/>
      <c r="B53" s="38"/>
      <c r="C53" s="38"/>
      <c r="D53" s="38"/>
      <c r="E53" s="38"/>
      <c r="F53" s="38"/>
      <c r="G53" s="38"/>
      <c r="H53" s="38"/>
      <c r="I53" s="39"/>
    </row>
  </sheetData>
  <mergeCells count="1">
    <mergeCell ref="A7:I7"/>
  </mergeCells>
  <pageMargins left="0.7" right="0.7" top="0.75" bottom="0.75" header="0.3" footer="0.3"/>
  <pageSetup scale="9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998BED-BCB8-4EB8-8594-C720654ADF85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53"/>
  <sheetViews>
    <sheetView view="pageBreakPreview" zoomScaleNormal="100" zoomScaleSheetLayoutView="100" workbookViewId="0">
      <selection activeCell="G14" sqref="G14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226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2" t="s">
        <v>26</v>
      </c>
      <c r="B11" s="4"/>
      <c r="C11" s="4"/>
      <c r="D11" s="4"/>
      <c r="E11" s="4"/>
      <c r="F11" s="4"/>
      <c r="G11" s="4"/>
      <c r="H11" s="4"/>
      <c r="I11" s="36"/>
      <c r="J11" s="6"/>
    </row>
    <row r="12" spans="1:11" x14ac:dyDescent="0.2">
      <c r="A12" s="34"/>
      <c r="B12" s="7" t="s">
        <v>27</v>
      </c>
      <c r="C12" s="7" t="s">
        <v>28</v>
      </c>
      <c r="D12" s="7" t="s">
        <v>11</v>
      </c>
      <c r="E12" s="7" t="s">
        <v>29</v>
      </c>
      <c r="F12" s="7" t="s">
        <v>30</v>
      </c>
      <c r="G12" s="7" t="s">
        <v>31</v>
      </c>
      <c r="H12" s="7" t="s">
        <v>32</v>
      </c>
      <c r="I12" s="36"/>
    </row>
    <row r="13" spans="1:11" x14ac:dyDescent="0.2">
      <c r="A13" s="34"/>
      <c r="B13" s="7"/>
      <c r="C13" s="111" t="s">
        <v>210</v>
      </c>
      <c r="D13" s="102" t="s">
        <v>107</v>
      </c>
      <c r="E13" s="116">
        <v>1</v>
      </c>
      <c r="F13" s="102">
        <v>0</v>
      </c>
      <c r="G13" s="119">
        <f>95*F9</f>
        <v>85007.900000000009</v>
      </c>
      <c r="H13" s="106">
        <f t="shared" ref="H13" si="0">G13*E13*(F13+1)</f>
        <v>85007.900000000009</v>
      </c>
      <c r="I13" s="36"/>
    </row>
    <row r="14" spans="1:11" x14ac:dyDescent="0.2">
      <c r="A14" s="34"/>
      <c r="B14" s="7"/>
      <c r="C14" s="83"/>
      <c r="D14" s="56"/>
      <c r="E14" s="54"/>
      <c r="F14" s="56"/>
      <c r="G14" s="95"/>
      <c r="H14" s="58"/>
      <c r="I14" s="36"/>
    </row>
    <row r="15" spans="1:11" x14ac:dyDescent="0.2">
      <c r="A15" s="34"/>
      <c r="B15" s="7"/>
      <c r="C15" s="83"/>
      <c r="D15" s="56"/>
      <c r="E15" s="54"/>
      <c r="F15" s="56"/>
      <c r="G15" s="95"/>
      <c r="H15" s="58"/>
      <c r="I15" s="36"/>
    </row>
    <row r="16" spans="1:11" x14ac:dyDescent="0.2">
      <c r="A16" s="34"/>
      <c r="B16" s="7"/>
      <c r="C16" s="83"/>
      <c r="D16" s="56"/>
      <c r="E16" s="54"/>
      <c r="F16" s="56"/>
      <c r="G16" s="95"/>
      <c r="H16" s="58"/>
      <c r="I16" s="36"/>
      <c r="K16" s="186"/>
    </row>
    <row r="17" spans="1:15" x14ac:dyDescent="0.2">
      <c r="A17" s="34"/>
      <c r="B17" s="7"/>
      <c r="C17" s="83"/>
      <c r="D17" s="56"/>
      <c r="E17" s="54"/>
      <c r="F17" s="56"/>
      <c r="G17" s="95"/>
      <c r="H17" s="58"/>
      <c r="I17" s="36"/>
    </row>
    <row r="18" spans="1:15" x14ac:dyDescent="0.2">
      <c r="A18" s="34"/>
      <c r="B18" s="7"/>
      <c r="C18" s="83"/>
      <c r="D18" s="56"/>
      <c r="E18" s="54"/>
      <c r="F18" s="56"/>
      <c r="G18" s="95"/>
      <c r="H18" s="58"/>
      <c r="I18" s="36"/>
    </row>
    <row r="19" spans="1:15" x14ac:dyDescent="0.2">
      <c r="A19" s="34"/>
      <c r="B19" s="7"/>
      <c r="C19" s="83"/>
      <c r="D19" s="56"/>
      <c r="E19" s="54"/>
      <c r="F19" s="56"/>
      <c r="G19" s="95"/>
      <c r="H19" s="58"/>
      <c r="I19" s="36"/>
    </row>
    <row r="20" spans="1:15" x14ac:dyDescent="0.2">
      <c r="A20" s="34"/>
      <c r="B20" s="17"/>
      <c r="C20" s="53"/>
      <c r="D20" s="56"/>
      <c r="E20" s="54"/>
      <c r="F20" s="56"/>
      <c r="G20" s="95"/>
      <c r="H20" s="58"/>
      <c r="I20" s="36"/>
    </row>
    <row r="21" spans="1:15" x14ac:dyDescent="0.2">
      <c r="A21" s="34"/>
      <c r="B21" s="13"/>
      <c r="C21" s="14"/>
      <c r="D21" s="26"/>
      <c r="E21" s="26"/>
      <c r="F21" s="26"/>
      <c r="G21" s="29" t="s">
        <v>42</v>
      </c>
      <c r="H21" s="16">
        <f>SUM(H13:H20)</f>
        <v>85007.900000000009</v>
      </c>
      <c r="I21" s="36"/>
    </row>
    <row r="22" spans="1:15" x14ac:dyDescent="0.2">
      <c r="A22" s="34"/>
      <c r="B22" s="13"/>
      <c r="C22" s="14"/>
      <c r="D22" s="26"/>
      <c r="E22" s="26"/>
      <c r="F22" s="26"/>
      <c r="G22" s="29" t="s">
        <v>43</v>
      </c>
      <c r="H22" s="16">
        <f>H21</f>
        <v>85007.900000000009</v>
      </c>
      <c r="I22" s="36"/>
    </row>
    <row r="23" spans="1:15" x14ac:dyDescent="0.2">
      <c r="A23" s="35"/>
      <c r="B23" s="5"/>
      <c r="C23" s="5"/>
      <c r="D23" s="5"/>
      <c r="E23" s="5"/>
      <c r="F23" s="5"/>
      <c r="G23" s="5"/>
      <c r="H23" s="5"/>
      <c r="I23" s="36"/>
    </row>
    <row r="24" spans="1:15" x14ac:dyDescent="0.2">
      <c r="A24" s="32" t="s">
        <v>44</v>
      </c>
      <c r="B24" s="4"/>
      <c r="C24" s="4"/>
      <c r="D24" s="4"/>
      <c r="E24" s="4"/>
      <c r="F24" s="4"/>
      <c r="G24" s="4"/>
      <c r="H24" s="4"/>
      <c r="I24" s="33"/>
      <c r="M24" s="8"/>
      <c r="O24" s="125"/>
    </row>
    <row r="25" spans="1:15" x14ac:dyDescent="0.2">
      <c r="A25" s="34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31</v>
      </c>
      <c r="G25" s="7" t="s">
        <v>45</v>
      </c>
      <c r="H25" s="7" t="s">
        <v>46</v>
      </c>
      <c r="I25" s="33"/>
    </row>
    <row r="26" spans="1:15" x14ac:dyDescent="0.2">
      <c r="A26" s="34"/>
      <c r="B26" s="17"/>
      <c r="C26" s="53" t="s">
        <v>47</v>
      </c>
      <c r="D26" s="21" t="s">
        <v>48</v>
      </c>
      <c r="E26" s="21">
        <v>1</v>
      </c>
      <c r="F26" s="21">
        <f>H21*0.01</f>
        <v>850.07900000000006</v>
      </c>
      <c r="G26" s="21">
        <v>1</v>
      </c>
      <c r="H26" s="22">
        <f>F26*E26*G26</f>
        <v>850.07900000000006</v>
      </c>
      <c r="I26" s="33"/>
      <c r="K26" s="9"/>
    </row>
    <row r="27" spans="1:15" x14ac:dyDescent="0.2">
      <c r="A27" s="34"/>
      <c r="B27" s="13"/>
      <c r="C27" s="14"/>
      <c r="D27" s="15"/>
      <c r="E27" s="15"/>
      <c r="F27" s="15"/>
      <c r="G27" s="30" t="s">
        <v>49</v>
      </c>
      <c r="H27" s="27">
        <f>SUM(H25:H26)</f>
        <v>850.07900000000006</v>
      </c>
      <c r="I27" s="33"/>
      <c r="K27" s="9"/>
    </row>
    <row r="28" spans="1:15" x14ac:dyDescent="0.2">
      <c r="A28" s="34"/>
      <c r="B28" s="13"/>
      <c r="C28" s="14"/>
      <c r="D28" s="15"/>
      <c r="E28" s="15"/>
      <c r="F28" s="15"/>
      <c r="G28" s="30" t="s">
        <v>50</v>
      </c>
      <c r="H28" s="27">
        <f>H27/$H$8</f>
        <v>850.07900000000006</v>
      </c>
      <c r="I28" s="33"/>
      <c r="K28" s="9"/>
    </row>
    <row r="29" spans="1:15" x14ac:dyDescent="0.2">
      <c r="A29" s="32" t="s">
        <v>51</v>
      </c>
      <c r="B29" s="10"/>
      <c r="C29" s="4"/>
      <c r="D29" s="11"/>
      <c r="E29" s="11"/>
      <c r="F29" s="11"/>
      <c r="G29" s="11"/>
      <c r="H29" s="12"/>
      <c r="I29" s="33"/>
      <c r="K29" s="9"/>
    </row>
    <row r="30" spans="1:15" x14ac:dyDescent="0.2">
      <c r="A30" s="32"/>
      <c r="B30" s="7" t="s">
        <v>27</v>
      </c>
      <c r="C30" s="7" t="s">
        <v>28</v>
      </c>
      <c r="D30" s="7" t="s">
        <v>11</v>
      </c>
      <c r="E30" s="7" t="s">
        <v>29</v>
      </c>
      <c r="F30" s="7" t="s">
        <v>52</v>
      </c>
      <c r="G30" s="7"/>
      <c r="H30" s="7" t="s">
        <v>46</v>
      </c>
      <c r="I30" s="33"/>
      <c r="K30" s="9"/>
    </row>
    <row r="31" spans="1:15" x14ac:dyDescent="0.2">
      <c r="A31" s="32"/>
      <c r="B31" s="17"/>
      <c r="C31" s="53" t="s">
        <v>117</v>
      </c>
      <c r="D31" s="21" t="s">
        <v>118</v>
      </c>
      <c r="E31" s="20">
        <f>0.5/9</f>
        <v>5.5555555555555552E-2</v>
      </c>
      <c r="F31" s="18">
        <v>40000</v>
      </c>
      <c r="G31" s="21"/>
      <c r="H31" s="18">
        <f>E31*F31</f>
        <v>2222.2222222222222</v>
      </c>
      <c r="I31" s="33"/>
    </row>
    <row r="32" spans="1:15" x14ac:dyDescent="0.2">
      <c r="A32" s="32"/>
      <c r="B32" s="17"/>
      <c r="C32" s="53" t="s">
        <v>53</v>
      </c>
      <c r="D32" s="21" t="s">
        <v>118</v>
      </c>
      <c r="E32" s="20">
        <f>1/9</f>
        <v>0.1111111111111111</v>
      </c>
      <c r="F32" s="18">
        <v>35000</v>
      </c>
      <c r="G32" s="21"/>
      <c r="H32" s="18">
        <f>E32*F32</f>
        <v>3888.8888888888887</v>
      </c>
      <c r="I32" s="33"/>
    </row>
    <row r="33" spans="1:9" x14ac:dyDescent="0.2">
      <c r="A33" s="32"/>
      <c r="B33" s="17"/>
      <c r="C33" s="53" t="s">
        <v>55</v>
      </c>
      <c r="D33" s="21" t="s">
        <v>118</v>
      </c>
      <c r="E33" s="20"/>
      <c r="F33" s="18">
        <v>30000</v>
      </c>
      <c r="G33" s="62"/>
      <c r="H33" s="18">
        <f>E33*F33</f>
        <v>0</v>
      </c>
      <c r="I33" s="33"/>
    </row>
    <row r="34" spans="1:9" x14ac:dyDescent="0.2">
      <c r="A34" s="32"/>
      <c r="B34" s="17"/>
      <c r="C34" s="53" t="s">
        <v>57</v>
      </c>
      <c r="D34" s="21" t="s">
        <v>118</v>
      </c>
      <c r="E34" s="20"/>
      <c r="F34" s="18">
        <v>25000</v>
      </c>
      <c r="G34" s="62"/>
      <c r="H34" s="18">
        <f t="shared" ref="H34" si="1">E34*F34</f>
        <v>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SUM(H31:H34)</f>
        <v>6111.1111111111113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1"/>
      <c r="H36" s="12"/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59</v>
      </c>
      <c r="H37" s="63">
        <f>H35</f>
        <v>6111.1111111111113</v>
      </c>
      <c r="I37" s="33"/>
    </row>
    <row r="38" spans="1:9" x14ac:dyDescent="0.2">
      <c r="A38" s="32"/>
      <c r="B38" s="10"/>
      <c r="C38" s="4"/>
      <c r="D38" s="11"/>
      <c r="E38" s="69">
        <v>0.56999999999999995</v>
      </c>
      <c r="F38" s="11"/>
      <c r="G38" s="30" t="s">
        <v>60</v>
      </c>
      <c r="H38" s="70">
        <f>H37*E38</f>
        <v>3483.333333333333</v>
      </c>
      <c r="I38" s="33"/>
    </row>
    <row r="39" spans="1:9" x14ac:dyDescent="0.2">
      <c r="A39" s="32"/>
      <c r="B39" s="10"/>
      <c r="C39" s="4"/>
      <c r="D39" s="11"/>
      <c r="E39" s="69">
        <v>0</v>
      </c>
      <c r="F39" s="11"/>
      <c r="G39" s="30" t="s">
        <v>61</v>
      </c>
      <c r="H39" s="63">
        <f>H37*E39</f>
        <v>0</v>
      </c>
      <c r="I39" s="33"/>
    </row>
    <row r="40" spans="1:9" x14ac:dyDescent="0.2">
      <c r="A40" s="32"/>
      <c r="B40" s="10"/>
      <c r="C40" s="4"/>
      <c r="D40" s="11"/>
      <c r="E40" s="11"/>
      <c r="F40" s="11"/>
      <c r="G40" s="31"/>
      <c r="H40" s="12"/>
      <c r="I40" s="33"/>
    </row>
    <row r="41" spans="1:9" x14ac:dyDescent="0.2">
      <c r="A41" s="32"/>
      <c r="B41" s="10"/>
      <c r="C41" s="4"/>
      <c r="D41" s="11"/>
      <c r="E41" s="11"/>
      <c r="F41" s="11"/>
      <c r="G41" s="30" t="s">
        <v>58</v>
      </c>
      <c r="H41" s="63">
        <f>H37+H38+H39</f>
        <v>9594.4444444444453</v>
      </c>
      <c r="I41" s="33"/>
    </row>
    <row r="42" spans="1:9" x14ac:dyDescent="0.2">
      <c r="A42" s="32"/>
      <c r="B42" s="10"/>
      <c r="C42" s="4"/>
      <c r="D42" s="11"/>
      <c r="E42" s="11"/>
      <c r="F42" s="11"/>
      <c r="G42" s="30" t="s">
        <v>62</v>
      </c>
      <c r="H42" s="71">
        <f>H41/$H$8</f>
        <v>9594.4444444444453</v>
      </c>
      <c r="I42" s="33"/>
    </row>
    <row r="43" spans="1:9" x14ac:dyDescent="0.2">
      <c r="A43" s="32"/>
      <c r="B43" s="10"/>
      <c r="C43" s="4"/>
      <c r="D43" s="11"/>
      <c r="E43" s="11"/>
      <c r="F43" s="11"/>
      <c r="G43" s="3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G44" s="30" t="s">
        <v>63</v>
      </c>
      <c r="H44" s="63">
        <f>H22+H28+H42</f>
        <v>95452.423444444459</v>
      </c>
      <c r="I44" s="33"/>
    </row>
    <row r="45" spans="1:9" x14ac:dyDescent="0.2">
      <c r="A45" s="32"/>
      <c r="B45" s="10"/>
      <c r="C45" s="4"/>
      <c r="D45" s="11"/>
      <c r="E45" s="11"/>
      <c r="F45" s="11"/>
      <c r="G45" s="11"/>
      <c r="H45" s="63"/>
      <c r="I45" s="33"/>
    </row>
    <row r="46" spans="1:9" x14ac:dyDescent="0.2">
      <c r="A46" s="32"/>
      <c r="B46" s="10"/>
      <c r="C46" s="4"/>
      <c r="D46" s="69">
        <v>0</v>
      </c>
      <c r="E46" s="11"/>
      <c r="F46" s="11"/>
      <c r="G46" s="28" t="s">
        <v>64</v>
      </c>
      <c r="H46" s="63">
        <f>D46*H44</f>
        <v>0</v>
      </c>
      <c r="I46" s="33"/>
    </row>
    <row r="47" spans="1:9" x14ac:dyDescent="0.2">
      <c r="A47" s="32"/>
      <c r="B47" s="10"/>
      <c r="C47" s="4"/>
      <c r="D47" s="11"/>
      <c r="E47" s="11"/>
      <c r="F47" s="11"/>
      <c r="G47" s="28" t="s">
        <v>65</v>
      </c>
      <c r="H47" s="63">
        <f>H44+H46</f>
        <v>95452.423444444459</v>
      </c>
      <c r="I47" s="33"/>
    </row>
    <row r="48" spans="1:9" x14ac:dyDescent="0.2">
      <c r="A48" s="32"/>
      <c r="B48" s="10"/>
      <c r="C48" s="4"/>
      <c r="D48" s="69">
        <v>0</v>
      </c>
      <c r="E48" s="11"/>
      <c r="F48" s="11"/>
      <c r="G48" s="28" t="s">
        <v>66</v>
      </c>
      <c r="H48" s="63">
        <f>D48*H47</f>
        <v>0</v>
      </c>
      <c r="I48" s="33"/>
    </row>
    <row r="49" spans="1:9" x14ac:dyDescent="0.2">
      <c r="A49" s="32"/>
      <c r="B49" s="10"/>
      <c r="C49" s="4"/>
      <c r="D49" s="11"/>
      <c r="E49" s="11"/>
      <c r="F49" s="11"/>
      <c r="G49" s="11"/>
      <c r="H49" s="12"/>
      <c r="I49" s="33"/>
    </row>
    <row r="50" spans="1:9" x14ac:dyDescent="0.2">
      <c r="A50" s="32"/>
      <c r="B50" s="10"/>
      <c r="C50" s="4"/>
      <c r="D50" s="11"/>
      <c r="E50" s="11"/>
      <c r="F50" s="11"/>
      <c r="H50" s="12"/>
      <c r="I50" s="33"/>
    </row>
    <row r="51" spans="1:9" x14ac:dyDescent="0.2">
      <c r="A51" s="32"/>
      <c r="B51" s="10"/>
      <c r="C51" s="4"/>
      <c r="D51" s="11"/>
      <c r="E51" s="11"/>
      <c r="F51" s="40"/>
      <c r="G51" s="41" t="s">
        <v>67</v>
      </c>
      <c r="H51" s="72">
        <f>H47+H48</f>
        <v>95452.423444444459</v>
      </c>
      <c r="I51" s="33"/>
    </row>
    <row r="52" spans="1:9" x14ac:dyDescent="0.2">
      <c r="A52" s="32"/>
      <c r="B52" s="10"/>
      <c r="C52" s="4"/>
      <c r="D52" s="11"/>
      <c r="E52" s="11"/>
      <c r="F52" s="40"/>
      <c r="G52" s="41" t="s">
        <v>68</v>
      </c>
      <c r="H52" s="72">
        <f>(H22+H28+(H42*H10))</f>
        <v>92648.460884831671</v>
      </c>
      <c r="I52" s="33"/>
    </row>
    <row r="53" spans="1:9" x14ac:dyDescent="0.2">
      <c r="A53" s="37"/>
      <c r="B53" s="38"/>
      <c r="C53" s="38"/>
      <c r="D53" s="38"/>
      <c r="E53" s="38"/>
      <c r="F53" s="38"/>
      <c r="G53" s="38"/>
      <c r="H53" s="38"/>
      <c r="I53" s="39"/>
    </row>
  </sheetData>
  <mergeCells count="1">
    <mergeCell ref="A7:I7"/>
  </mergeCells>
  <pageMargins left="0.7" right="0.7" top="0.75" bottom="0.75" header="0.3" footer="0.3"/>
  <pageSetup scale="9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0367CB2-BACC-4816-87D7-C77692DAAF07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58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3" width="10.7109375" style="1"/>
    <col min="14" max="14" width="11.7109375" style="1" bestFit="1" customWidth="1"/>
    <col min="15" max="16384" width="10.7109375" style="1"/>
  </cols>
  <sheetData>
    <row r="1" spans="1:12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2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2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2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2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2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2" x14ac:dyDescent="0.2">
      <c r="A7" s="202" t="s">
        <v>227</v>
      </c>
      <c r="B7" s="203"/>
      <c r="C7" s="203"/>
      <c r="D7" s="203"/>
      <c r="E7" s="203"/>
      <c r="F7" s="203"/>
      <c r="G7" s="203"/>
      <c r="H7" s="203"/>
      <c r="I7" s="204"/>
    </row>
    <row r="8" spans="1:12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2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2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2" x14ac:dyDescent="0.2">
      <c r="A11" s="32" t="s">
        <v>26</v>
      </c>
      <c r="B11" s="4"/>
      <c r="C11" s="4"/>
      <c r="D11" s="4"/>
      <c r="E11" s="4"/>
      <c r="F11" s="4"/>
      <c r="G11" s="4"/>
      <c r="H11" s="4"/>
      <c r="I11" s="36"/>
      <c r="J11" s="6"/>
    </row>
    <row r="12" spans="1:12" x14ac:dyDescent="0.2">
      <c r="A12" s="34"/>
      <c r="B12" s="7" t="s">
        <v>27</v>
      </c>
      <c r="C12" s="7" t="s">
        <v>28</v>
      </c>
      <c r="D12" s="7" t="s">
        <v>11</v>
      </c>
      <c r="E12" s="7" t="s">
        <v>29</v>
      </c>
      <c r="F12" s="7" t="s">
        <v>30</v>
      </c>
      <c r="G12" s="7" t="s">
        <v>31</v>
      </c>
      <c r="H12" s="7" t="s">
        <v>32</v>
      </c>
      <c r="I12" s="36"/>
    </row>
    <row r="13" spans="1:12" x14ac:dyDescent="0.2">
      <c r="A13" s="34"/>
      <c r="B13" s="7"/>
      <c r="C13" s="126" t="s">
        <v>228</v>
      </c>
      <c r="D13" s="127" t="s">
        <v>107</v>
      </c>
      <c r="E13" s="127">
        <v>1</v>
      </c>
      <c r="F13" s="127">
        <v>0</v>
      </c>
      <c r="G13" s="128">
        <v>250000</v>
      </c>
      <c r="H13" s="128">
        <v>250000</v>
      </c>
      <c r="I13" s="36"/>
    </row>
    <row r="14" spans="1:12" x14ac:dyDescent="0.2">
      <c r="A14" s="34"/>
      <c r="B14" s="7"/>
      <c r="C14" s="129" t="s">
        <v>229</v>
      </c>
      <c r="D14" s="130" t="s">
        <v>107</v>
      </c>
      <c r="E14" s="131">
        <v>1</v>
      </c>
      <c r="F14" s="131">
        <v>0</v>
      </c>
      <c r="G14" s="132">
        <v>378570</v>
      </c>
      <c r="H14" s="132">
        <v>378570</v>
      </c>
      <c r="I14" s="36"/>
      <c r="L14" s="1" t="s">
        <v>213</v>
      </c>
    </row>
    <row r="15" spans="1:12" x14ac:dyDescent="0.2">
      <c r="A15" s="34"/>
      <c r="B15" s="7"/>
      <c r="C15" s="129" t="s">
        <v>230</v>
      </c>
      <c r="D15" s="130" t="s">
        <v>107</v>
      </c>
      <c r="E15" s="131">
        <v>1</v>
      </c>
      <c r="F15" s="131">
        <v>0</v>
      </c>
      <c r="G15" s="132">
        <v>62000</v>
      </c>
      <c r="H15" s="132">
        <v>62000</v>
      </c>
      <c r="I15" s="36"/>
    </row>
    <row r="16" spans="1:12" x14ac:dyDescent="0.2">
      <c r="A16" s="34"/>
      <c r="B16" s="7"/>
      <c r="C16" s="129" t="s">
        <v>231</v>
      </c>
      <c r="D16" s="130" t="s">
        <v>215</v>
      </c>
      <c r="E16" s="131">
        <v>4</v>
      </c>
      <c r="F16" s="131">
        <v>0</v>
      </c>
      <c r="G16" s="132">
        <v>36000</v>
      </c>
      <c r="H16" s="132">
        <v>144000</v>
      </c>
      <c r="I16" s="36"/>
      <c r="L16" s="1" t="s">
        <v>217</v>
      </c>
    </row>
    <row r="17" spans="1:14" x14ac:dyDescent="0.2">
      <c r="A17" s="34"/>
      <c r="B17" s="7"/>
      <c r="C17" s="133" t="s">
        <v>232</v>
      </c>
      <c r="D17" s="131" t="s">
        <v>215</v>
      </c>
      <c r="E17" s="131">
        <v>0.13</v>
      </c>
      <c r="F17" s="131">
        <v>0.05</v>
      </c>
      <c r="G17" s="132">
        <v>2500</v>
      </c>
      <c r="H17" s="132">
        <v>341</v>
      </c>
      <c r="I17" s="36"/>
    </row>
    <row r="18" spans="1:14" x14ac:dyDescent="0.2">
      <c r="A18" s="34"/>
      <c r="B18" s="7"/>
      <c r="C18" s="129" t="s">
        <v>233</v>
      </c>
      <c r="D18" s="130" t="s">
        <v>107</v>
      </c>
      <c r="E18" s="131">
        <v>1</v>
      </c>
      <c r="F18" s="131">
        <v>0</v>
      </c>
      <c r="G18" s="132">
        <v>643</v>
      </c>
      <c r="H18" s="132">
        <v>643</v>
      </c>
      <c r="I18" s="36"/>
    </row>
    <row r="19" spans="1:14" x14ac:dyDescent="0.2">
      <c r="A19" s="34"/>
      <c r="B19" s="7"/>
      <c r="C19" s="134" t="s">
        <v>234</v>
      </c>
      <c r="D19" s="135" t="s">
        <v>107</v>
      </c>
      <c r="E19" s="135">
        <v>1</v>
      </c>
      <c r="F19" s="135">
        <v>0</v>
      </c>
      <c r="G19" s="136">
        <v>69990</v>
      </c>
      <c r="H19" s="136">
        <v>69990</v>
      </c>
      <c r="I19" s="36"/>
    </row>
    <row r="20" spans="1:14" x14ac:dyDescent="0.2">
      <c r="A20" s="34"/>
      <c r="B20" s="7"/>
      <c r="C20" s="129" t="s">
        <v>235</v>
      </c>
      <c r="D20" s="130" t="s">
        <v>107</v>
      </c>
      <c r="E20" s="131">
        <v>4</v>
      </c>
      <c r="F20" s="131">
        <v>0.05</v>
      </c>
      <c r="G20" s="132">
        <v>680</v>
      </c>
      <c r="H20" s="132">
        <v>2856</v>
      </c>
      <c r="I20" s="36"/>
    </row>
    <row r="21" spans="1:14" x14ac:dyDescent="0.2">
      <c r="A21" s="34"/>
      <c r="B21" s="7"/>
      <c r="C21" s="129" t="s">
        <v>236</v>
      </c>
      <c r="D21" s="130" t="s">
        <v>107</v>
      </c>
      <c r="E21" s="131">
        <v>8</v>
      </c>
      <c r="F21" s="131">
        <v>0.05</v>
      </c>
      <c r="G21" s="132">
        <v>233</v>
      </c>
      <c r="H21" s="132">
        <v>1957</v>
      </c>
      <c r="I21" s="36"/>
      <c r="L21" s="1" t="s">
        <v>222</v>
      </c>
      <c r="N21" s="1" t="s">
        <v>223</v>
      </c>
    </row>
    <row r="22" spans="1:14" x14ac:dyDescent="0.2">
      <c r="A22" s="34"/>
      <c r="B22" s="7"/>
      <c r="C22" s="129" t="s">
        <v>237</v>
      </c>
      <c r="D22" s="130" t="s">
        <v>107</v>
      </c>
      <c r="E22" s="131">
        <v>4</v>
      </c>
      <c r="F22" s="131">
        <v>0.05</v>
      </c>
      <c r="G22" s="132">
        <v>54</v>
      </c>
      <c r="H22" s="132">
        <v>227</v>
      </c>
      <c r="I22" s="36"/>
    </row>
    <row r="23" spans="1:14" x14ac:dyDescent="0.2">
      <c r="A23" s="34"/>
      <c r="B23" s="7"/>
      <c r="C23" s="133" t="s">
        <v>238</v>
      </c>
      <c r="D23" s="131" t="s">
        <v>107</v>
      </c>
      <c r="E23" s="131">
        <v>15</v>
      </c>
      <c r="F23" s="131">
        <v>0.05</v>
      </c>
      <c r="G23" s="132">
        <v>20</v>
      </c>
      <c r="H23" s="132">
        <v>315</v>
      </c>
      <c r="I23" s="36"/>
      <c r="L23" s="8">
        <f>H56</f>
        <v>1101992.345</v>
      </c>
      <c r="N23" s="125">
        <f>H56-H15</f>
        <v>1039992.345</v>
      </c>
    </row>
    <row r="24" spans="1:14" x14ac:dyDescent="0.2">
      <c r="A24" s="34"/>
      <c r="B24" s="17"/>
      <c r="C24" s="83" t="s">
        <v>218</v>
      </c>
      <c r="D24" s="56" t="s">
        <v>219</v>
      </c>
      <c r="E24" s="54">
        <v>3</v>
      </c>
      <c r="F24" s="56">
        <v>0</v>
      </c>
      <c r="G24" s="95">
        <v>4590</v>
      </c>
      <c r="H24" s="58">
        <f t="shared" ref="H24" si="0">G24*E24*(F24+1)</f>
        <v>13770</v>
      </c>
      <c r="I24" s="36"/>
    </row>
    <row r="25" spans="1:14" x14ac:dyDescent="0.2">
      <c r="A25" s="34"/>
      <c r="B25" s="13"/>
      <c r="C25" s="14"/>
      <c r="D25" s="26"/>
      <c r="E25" s="26"/>
      <c r="F25" s="26"/>
      <c r="G25" s="29" t="s">
        <v>42</v>
      </c>
      <c r="H25" s="16">
        <f>SUM(H13:H24)</f>
        <v>924669</v>
      </c>
      <c r="I25" s="36"/>
    </row>
    <row r="26" spans="1:14" ht="12" thickBot="1" x14ac:dyDescent="0.25">
      <c r="A26" s="34"/>
      <c r="B26" s="13"/>
      <c r="C26" s="14"/>
      <c r="D26" s="26"/>
      <c r="E26" s="26"/>
      <c r="F26" s="26"/>
      <c r="G26" s="29" t="s">
        <v>43</v>
      </c>
      <c r="H26" s="16">
        <f>H25</f>
        <v>924669</v>
      </c>
      <c r="I26" s="36"/>
    </row>
    <row r="27" spans="1:14" ht="12" thickBot="1" x14ac:dyDescent="0.25">
      <c r="A27" s="35"/>
      <c r="B27" s="5"/>
      <c r="C27" s="5"/>
      <c r="D27" s="5"/>
      <c r="E27" s="5"/>
      <c r="F27" s="5"/>
      <c r="G27" s="5"/>
      <c r="H27" s="5"/>
      <c r="I27" s="36"/>
      <c r="L27" s="97" t="s">
        <v>115</v>
      </c>
      <c r="M27" s="100">
        <f>N23/L23</f>
        <v>0.94373826616735712</v>
      </c>
    </row>
    <row r="28" spans="1:14" x14ac:dyDescent="0.2">
      <c r="A28" s="32" t="s">
        <v>44</v>
      </c>
      <c r="B28" s="4"/>
      <c r="C28" s="4"/>
      <c r="D28" s="4"/>
      <c r="E28" s="4"/>
      <c r="F28" s="4"/>
      <c r="G28" s="4"/>
      <c r="H28" s="4"/>
      <c r="I28" s="33"/>
      <c r="M28" s="8"/>
    </row>
    <row r="29" spans="1:14" x14ac:dyDescent="0.2">
      <c r="A29" s="34"/>
      <c r="B29" s="7" t="s">
        <v>27</v>
      </c>
      <c r="C29" s="7" t="s">
        <v>28</v>
      </c>
      <c r="D29" s="7" t="s">
        <v>11</v>
      </c>
      <c r="E29" s="7" t="s">
        <v>29</v>
      </c>
      <c r="F29" s="7" t="s">
        <v>31</v>
      </c>
      <c r="G29" s="7" t="s">
        <v>45</v>
      </c>
      <c r="H29" s="7" t="s">
        <v>46</v>
      </c>
      <c r="I29" s="33"/>
    </row>
    <row r="30" spans="1:14" x14ac:dyDescent="0.2">
      <c r="A30" s="34"/>
      <c r="B30" s="17"/>
      <c r="C30" s="53" t="s">
        <v>47</v>
      </c>
      <c r="D30" s="21" t="s">
        <v>48</v>
      </c>
      <c r="E30" s="21">
        <v>1</v>
      </c>
      <c r="F30" s="21">
        <f>H25*0.005</f>
        <v>4623.3450000000003</v>
      </c>
      <c r="G30" s="21">
        <v>1</v>
      </c>
      <c r="H30" s="22">
        <f>F30*E30*G30</f>
        <v>4623.3450000000003</v>
      </c>
      <c r="I30" s="33"/>
      <c r="K30" s="9"/>
    </row>
    <row r="31" spans="1:14" x14ac:dyDescent="0.2">
      <c r="A31" s="34"/>
      <c r="B31" s="13"/>
      <c r="C31" s="14"/>
      <c r="D31" s="15"/>
      <c r="E31" s="15"/>
      <c r="F31" s="15"/>
      <c r="G31" s="30" t="s">
        <v>49</v>
      </c>
      <c r="H31" s="27">
        <f>SUM(H29:H30)</f>
        <v>4623.3450000000003</v>
      </c>
      <c r="I31" s="33"/>
      <c r="K31" s="9"/>
    </row>
    <row r="32" spans="1:14" x14ac:dyDescent="0.2">
      <c r="A32" s="34"/>
      <c r="B32" s="13"/>
      <c r="C32" s="14"/>
      <c r="D32" s="15"/>
      <c r="E32" s="15"/>
      <c r="F32" s="15"/>
      <c r="G32" s="30" t="s">
        <v>50</v>
      </c>
      <c r="H32" s="27">
        <f>H31/$H$8</f>
        <v>4623.3450000000003</v>
      </c>
      <c r="I32" s="33"/>
      <c r="K32" s="9"/>
    </row>
    <row r="33" spans="1:11" x14ac:dyDescent="0.2">
      <c r="A33" s="32"/>
      <c r="B33" s="10"/>
      <c r="C33" s="4"/>
      <c r="D33" s="11"/>
      <c r="E33" s="11"/>
      <c r="F33" s="11"/>
      <c r="G33" s="11"/>
      <c r="H33" s="12"/>
      <c r="I33" s="33"/>
      <c r="K33" s="9"/>
    </row>
    <row r="34" spans="1:11" x14ac:dyDescent="0.2">
      <c r="A34" s="32" t="s">
        <v>51</v>
      </c>
      <c r="B34" s="10"/>
      <c r="C34" s="4"/>
      <c r="D34" s="11"/>
      <c r="E34" s="11"/>
      <c r="F34" s="11"/>
      <c r="G34" s="11"/>
      <c r="H34" s="12"/>
      <c r="I34" s="33"/>
      <c r="K34" s="9"/>
    </row>
    <row r="35" spans="1:11" x14ac:dyDescent="0.2">
      <c r="A35" s="32"/>
      <c r="B35" s="7" t="s">
        <v>27</v>
      </c>
      <c r="C35" s="7" t="s">
        <v>28</v>
      </c>
      <c r="D35" s="7" t="s">
        <v>11</v>
      </c>
      <c r="E35" s="7" t="s">
        <v>29</v>
      </c>
      <c r="F35" s="7" t="s">
        <v>52</v>
      </c>
      <c r="G35" s="7"/>
      <c r="H35" s="7" t="s">
        <v>46</v>
      </c>
      <c r="I35" s="33"/>
      <c r="K35" s="9"/>
    </row>
    <row r="36" spans="1:11" x14ac:dyDescent="0.2">
      <c r="A36" s="32"/>
      <c r="B36" s="17"/>
      <c r="C36" s="53" t="s">
        <v>117</v>
      </c>
      <c r="D36" s="21" t="s">
        <v>118</v>
      </c>
      <c r="E36" s="20">
        <f>E37/2</f>
        <v>0.5</v>
      </c>
      <c r="F36" s="18">
        <v>40000</v>
      </c>
      <c r="G36" s="21"/>
      <c r="H36" s="18">
        <f>E36*F36</f>
        <v>20000</v>
      </c>
      <c r="I36" s="33"/>
    </row>
    <row r="37" spans="1:11" x14ac:dyDescent="0.2">
      <c r="A37" s="32"/>
      <c r="B37" s="17"/>
      <c r="C37" s="53" t="s">
        <v>53</v>
      </c>
      <c r="D37" s="21" t="s">
        <v>118</v>
      </c>
      <c r="E37" s="20">
        <v>1</v>
      </c>
      <c r="F37" s="18">
        <v>35000</v>
      </c>
      <c r="G37" s="62"/>
      <c r="H37" s="18">
        <f>E37*F37</f>
        <v>35000</v>
      </c>
      <c r="I37" s="33"/>
    </row>
    <row r="38" spans="1:11" x14ac:dyDescent="0.2">
      <c r="A38" s="32"/>
      <c r="B38" s="17"/>
      <c r="C38" s="53" t="s">
        <v>55</v>
      </c>
      <c r="D38" s="21" t="s">
        <v>118</v>
      </c>
      <c r="E38" s="20">
        <v>1</v>
      </c>
      <c r="F38" s="18">
        <v>30000</v>
      </c>
      <c r="G38" s="62"/>
      <c r="H38" s="18">
        <f>E38*F38</f>
        <v>30000</v>
      </c>
      <c r="I38" s="33"/>
    </row>
    <row r="39" spans="1:11" x14ac:dyDescent="0.2">
      <c r="A39" s="32"/>
      <c r="B39" s="17"/>
      <c r="C39" s="53" t="s">
        <v>57</v>
      </c>
      <c r="D39" s="21" t="s">
        <v>118</v>
      </c>
      <c r="E39" s="20">
        <v>1</v>
      </c>
      <c r="F39" s="18">
        <v>25000</v>
      </c>
      <c r="G39" s="62"/>
      <c r="H39" s="18">
        <f t="shared" ref="H39" si="1">E39*F39</f>
        <v>25000</v>
      </c>
      <c r="I39" s="33"/>
    </row>
    <row r="40" spans="1:11" x14ac:dyDescent="0.2">
      <c r="A40" s="32"/>
      <c r="B40" s="10"/>
      <c r="C40" s="4"/>
      <c r="D40" s="11"/>
      <c r="E40" s="11"/>
      <c r="F40" s="11"/>
      <c r="G40" s="30" t="s">
        <v>58</v>
      </c>
      <c r="H40" s="63">
        <f>SUM(H36:H39)</f>
        <v>110000</v>
      </c>
      <c r="I40" s="33"/>
    </row>
    <row r="41" spans="1:11" x14ac:dyDescent="0.2">
      <c r="A41" s="32"/>
      <c r="B41" s="10"/>
      <c r="C41" s="4"/>
      <c r="D41" s="11"/>
      <c r="E41" s="11"/>
      <c r="F41" s="11"/>
      <c r="G41" s="31"/>
      <c r="H41" s="12"/>
      <c r="I41" s="33"/>
    </row>
    <row r="42" spans="1:11" x14ac:dyDescent="0.2">
      <c r="A42" s="32"/>
      <c r="B42" s="10"/>
      <c r="C42" s="4"/>
      <c r="D42" s="11"/>
      <c r="E42" s="11"/>
      <c r="F42" s="11"/>
      <c r="G42" s="30" t="s">
        <v>59</v>
      </c>
      <c r="H42" s="63">
        <f>H40</f>
        <v>110000</v>
      </c>
      <c r="I42" s="33"/>
    </row>
    <row r="43" spans="1:11" x14ac:dyDescent="0.2">
      <c r="A43" s="32"/>
      <c r="B43" s="10"/>
      <c r="C43" s="4"/>
      <c r="D43" s="11"/>
      <c r="E43" s="69">
        <v>0.56999999999999995</v>
      </c>
      <c r="F43" s="11"/>
      <c r="G43" s="30" t="s">
        <v>60</v>
      </c>
      <c r="H43" s="70">
        <f>H42*E43</f>
        <v>62699.999999999993</v>
      </c>
      <c r="I43" s="33"/>
    </row>
    <row r="44" spans="1:11" x14ac:dyDescent="0.2">
      <c r="A44" s="32"/>
      <c r="B44" s="10"/>
      <c r="C44" s="4"/>
      <c r="D44" s="11"/>
      <c r="E44" s="69">
        <v>0</v>
      </c>
      <c r="F44" s="11"/>
      <c r="G44" s="30" t="s">
        <v>61</v>
      </c>
      <c r="H44" s="63">
        <f>H42*E44</f>
        <v>0</v>
      </c>
      <c r="I44" s="33"/>
    </row>
    <row r="45" spans="1:11" x14ac:dyDescent="0.2">
      <c r="A45" s="32"/>
      <c r="B45" s="10"/>
      <c r="C45" s="4"/>
      <c r="D45" s="11"/>
      <c r="E45" s="11"/>
      <c r="F45" s="11"/>
      <c r="G45" s="31"/>
      <c r="H45" s="12"/>
      <c r="I45" s="33"/>
    </row>
    <row r="46" spans="1:11" x14ac:dyDescent="0.2">
      <c r="A46" s="32"/>
      <c r="B46" s="10"/>
      <c r="C46" s="4"/>
      <c r="D46" s="11"/>
      <c r="E46" s="11"/>
      <c r="F46" s="11"/>
      <c r="G46" s="30" t="s">
        <v>58</v>
      </c>
      <c r="H46" s="63">
        <f>H42+H43+H44</f>
        <v>172700</v>
      </c>
      <c r="I46" s="33"/>
    </row>
    <row r="47" spans="1:11" x14ac:dyDescent="0.2">
      <c r="A47" s="32"/>
      <c r="B47" s="10"/>
      <c r="C47" s="4"/>
      <c r="D47" s="11"/>
      <c r="E47" s="11"/>
      <c r="F47" s="11"/>
      <c r="G47" s="30" t="s">
        <v>62</v>
      </c>
      <c r="H47" s="71">
        <f>H46/$H$8</f>
        <v>172700</v>
      </c>
      <c r="I47" s="33"/>
    </row>
    <row r="48" spans="1:11" x14ac:dyDescent="0.2">
      <c r="A48" s="32"/>
      <c r="B48" s="10"/>
      <c r="C48" s="4"/>
      <c r="D48" s="11"/>
      <c r="E48" s="11"/>
      <c r="F48" s="11"/>
      <c r="G48" s="31"/>
      <c r="H48" s="12"/>
      <c r="I48" s="33"/>
    </row>
    <row r="49" spans="1:9" x14ac:dyDescent="0.2">
      <c r="A49" s="32"/>
      <c r="B49" s="10"/>
      <c r="C49" s="4"/>
      <c r="D49" s="11"/>
      <c r="E49" s="11"/>
      <c r="F49" s="11"/>
      <c r="G49" s="30" t="s">
        <v>63</v>
      </c>
      <c r="H49" s="63">
        <f>H26+H32+H47</f>
        <v>1101992.345</v>
      </c>
      <c r="I49" s="33"/>
    </row>
    <row r="50" spans="1:9" x14ac:dyDescent="0.2">
      <c r="A50" s="32"/>
      <c r="B50" s="10"/>
      <c r="C50" s="4"/>
      <c r="D50" s="11"/>
      <c r="E50" s="11"/>
      <c r="F50" s="11"/>
      <c r="G50" s="11"/>
      <c r="H50" s="63"/>
      <c r="I50" s="33"/>
    </row>
    <row r="51" spans="1:9" x14ac:dyDescent="0.2">
      <c r="A51" s="32"/>
      <c r="B51" s="10"/>
      <c r="C51" s="4"/>
      <c r="D51" s="69">
        <v>0</v>
      </c>
      <c r="E51" s="11"/>
      <c r="F51" s="11"/>
      <c r="G51" s="28" t="s">
        <v>64</v>
      </c>
      <c r="H51" s="63">
        <f>D51*H49</f>
        <v>0</v>
      </c>
      <c r="I51" s="33"/>
    </row>
    <row r="52" spans="1:9" x14ac:dyDescent="0.2">
      <c r="A52" s="32"/>
      <c r="B52" s="10"/>
      <c r="C52" s="4"/>
      <c r="D52" s="11"/>
      <c r="E52" s="11"/>
      <c r="F52" s="11"/>
      <c r="G52" s="28" t="s">
        <v>65</v>
      </c>
      <c r="H52" s="63">
        <f>H49+H51</f>
        <v>1101992.345</v>
      </c>
      <c r="I52" s="33"/>
    </row>
    <row r="53" spans="1:9" x14ac:dyDescent="0.2">
      <c r="A53" s="32"/>
      <c r="B53" s="10"/>
      <c r="C53" s="4"/>
      <c r="D53" s="69">
        <v>0</v>
      </c>
      <c r="E53" s="11"/>
      <c r="F53" s="11"/>
      <c r="G53" s="28" t="s">
        <v>66</v>
      </c>
      <c r="H53" s="63">
        <f>D53*H52</f>
        <v>0</v>
      </c>
      <c r="I53" s="33"/>
    </row>
    <row r="54" spans="1:9" x14ac:dyDescent="0.2">
      <c r="A54" s="32"/>
      <c r="B54" s="10"/>
      <c r="C54" s="4"/>
      <c r="D54" s="11"/>
      <c r="E54" s="11"/>
      <c r="F54" s="11"/>
      <c r="G54" s="11"/>
      <c r="H54" s="12"/>
      <c r="I54" s="33"/>
    </row>
    <row r="55" spans="1:9" x14ac:dyDescent="0.2">
      <c r="A55" s="32"/>
      <c r="B55" s="10"/>
      <c r="C55" s="4"/>
      <c r="D55" s="11"/>
      <c r="E55" s="11"/>
      <c r="F55" s="11"/>
      <c r="H55" s="12"/>
      <c r="I55" s="33"/>
    </row>
    <row r="56" spans="1:9" x14ac:dyDescent="0.2">
      <c r="A56" s="32"/>
      <c r="B56" s="10"/>
      <c r="C56" s="4"/>
      <c r="D56" s="11"/>
      <c r="E56" s="11"/>
      <c r="F56" s="40"/>
      <c r="G56" s="41" t="s">
        <v>67</v>
      </c>
      <c r="H56" s="72">
        <f>H52+H53</f>
        <v>1101992.345</v>
      </c>
      <c r="I56" s="33"/>
    </row>
    <row r="57" spans="1:9" x14ac:dyDescent="0.2">
      <c r="A57" s="32"/>
      <c r="B57" s="10"/>
      <c r="C57" s="4"/>
      <c r="D57" s="11"/>
      <c r="E57" s="11"/>
      <c r="F57" s="40"/>
      <c r="G57" s="41" t="s">
        <v>68</v>
      </c>
      <c r="H57" s="72">
        <f>(H26+H32+(H47*H10))</f>
        <v>1051521.01892697</v>
      </c>
      <c r="I57" s="33"/>
    </row>
    <row r="58" spans="1:9" x14ac:dyDescent="0.2">
      <c r="A58" s="32"/>
      <c r="B58" s="10"/>
      <c r="C58" s="4"/>
      <c r="D58" s="11"/>
      <c r="E58" s="11"/>
      <c r="F58" s="11"/>
      <c r="G58" s="11"/>
      <c r="H58" s="12"/>
      <c r="I58" s="33"/>
    </row>
  </sheetData>
  <mergeCells count="1">
    <mergeCell ref="A7:I7"/>
  </mergeCells>
  <pageMargins left="0.7" right="0.7" top="0.75" bottom="0.75" header="0.3" footer="0.3"/>
  <pageSetup scale="8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47F250-F711-4C0D-AB83-D6C398363042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88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9" t="s">
        <v>239</v>
      </c>
      <c r="B7" s="210"/>
      <c r="C7" s="210"/>
      <c r="D7" s="210"/>
      <c r="E7" s="210"/>
      <c r="F7" s="210"/>
      <c r="G7" s="210"/>
      <c r="H7" s="210"/>
      <c r="I7" s="211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208" t="s">
        <v>240</v>
      </c>
      <c r="C11" s="208"/>
      <c r="D11" s="5"/>
      <c r="E11" s="23"/>
      <c r="F11" s="24"/>
      <c r="G11" s="23"/>
      <c r="H11" s="85"/>
      <c r="I11" s="36"/>
    </row>
    <row r="12" spans="1:11" x14ac:dyDescent="0.2">
      <c r="A12" s="35"/>
      <c r="B12" s="93"/>
      <c r="C12" s="93"/>
      <c r="D12" s="5"/>
      <c r="E12" s="23"/>
      <c r="F12" s="24"/>
      <c r="G12" s="23"/>
      <c r="H12" s="8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x14ac:dyDescent="0.2">
      <c r="A15" s="34"/>
      <c r="B15" s="7"/>
      <c r="C15" s="137" t="s">
        <v>241</v>
      </c>
      <c r="D15" s="127" t="s">
        <v>107</v>
      </c>
      <c r="E15" s="127">
        <v>1</v>
      </c>
      <c r="F15" s="127">
        <v>0</v>
      </c>
      <c r="G15" s="128">
        <v>209430</v>
      </c>
      <c r="H15" s="128">
        <v>209430</v>
      </c>
      <c r="I15" s="36"/>
    </row>
    <row r="16" spans="1:11" x14ac:dyDescent="0.2">
      <c r="A16" s="34"/>
      <c r="B16" s="7"/>
      <c r="C16" s="129" t="s">
        <v>242</v>
      </c>
      <c r="D16" s="130" t="s">
        <v>107</v>
      </c>
      <c r="E16" s="131">
        <v>6</v>
      </c>
      <c r="F16" s="131">
        <v>0</v>
      </c>
      <c r="G16" s="138">
        <v>47100</v>
      </c>
      <c r="H16" s="132">
        <v>282600</v>
      </c>
      <c r="I16" s="36"/>
    </row>
    <row r="17" spans="1:9" x14ac:dyDescent="0.2">
      <c r="A17" s="34"/>
      <c r="B17" s="7"/>
      <c r="C17" s="129" t="s">
        <v>243</v>
      </c>
      <c r="D17" s="130" t="s">
        <v>107</v>
      </c>
      <c r="E17" s="131">
        <v>2</v>
      </c>
      <c r="F17" s="131">
        <v>0</v>
      </c>
      <c r="G17" s="138">
        <v>58400</v>
      </c>
      <c r="H17" s="132">
        <v>116800</v>
      </c>
      <c r="I17" s="36"/>
    </row>
    <row r="18" spans="1:9" x14ac:dyDescent="0.2">
      <c r="A18" s="34"/>
      <c r="B18" s="7"/>
      <c r="C18" s="129" t="s">
        <v>244</v>
      </c>
      <c r="D18" s="130" t="s">
        <v>107</v>
      </c>
      <c r="E18" s="131">
        <v>4</v>
      </c>
      <c r="F18" s="131">
        <v>0</v>
      </c>
      <c r="G18" s="138">
        <v>6220</v>
      </c>
      <c r="H18" s="132">
        <v>24880</v>
      </c>
      <c r="I18" s="36"/>
    </row>
    <row r="19" spans="1:9" x14ac:dyDescent="0.2">
      <c r="A19" s="34"/>
      <c r="B19" s="7"/>
      <c r="C19" s="129" t="s">
        <v>245</v>
      </c>
      <c r="D19" s="130" t="s">
        <v>246</v>
      </c>
      <c r="E19" s="131">
        <v>12</v>
      </c>
      <c r="F19" s="131">
        <v>0.05</v>
      </c>
      <c r="G19" s="132">
        <v>4846</v>
      </c>
      <c r="H19" s="132">
        <v>61060</v>
      </c>
      <c r="I19" s="36"/>
    </row>
    <row r="20" spans="1:9" x14ac:dyDescent="0.2">
      <c r="A20" s="34"/>
      <c r="B20" s="7"/>
      <c r="C20" s="134" t="s">
        <v>247</v>
      </c>
      <c r="D20" s="135" t="s">
        <v>107</v>
      </c>
      <c r="E20" s="135">
        <v>1</v>
      </c>
      <c r="F20" s="135">
        <v>0</v>
      </c>
      <c r="G20" s="139">
        <f>2600*F9</f>
        <v>2326532</v>
      </c>
      <c r="H20" s="136">
        <v>2280000</v>
      </c>
      <c r="I20" s="36"/>
    </row>
    <row r="21" spans="1:9" x14ac:dyDescent="0.2">
      <c r="A21" s="34"/>
      <c r="B21" s="7"/>
      <c r="C21" s="129" t="s">
        <v>248</v>
      </c>
      <c r="D21" s="130" t="s">
        <v>246</v>
      </c>
      <c r="E21" s="131">
        <v>10</v>
      </c>
      <c r="F21" s="131">
        <v>0</v>
      </c>
      <c r="G21" s="132">
        <v>22300</v>
      </c>
      <c r="H21" s="132">
        <v>223000</v>
      </c>
      <c r="I21" s="36"/>
    </row>
    <row r="22" spans="1:9" x14ac:dyDescent="0.2">
      <c r="A22" s="34"/>
      <c r="B22" s="7"/>
      <c r="C22" s="129" t="s">
        <v>249</v>
      </c>
      <c r="D22" s="130" t="s">
        <v>149</v>
      </c>
      <c r="E22" s="131">
        <v>1</v>
      </c>
      <c r="F22" s="131">
        <v>0.05</v>
      </c>
      <c r="G22" s="132">
        <v>22600</v>
      </c>
      <c r="H22" s="132">
        <v>23730</v>
      </c>
      <c r="I22" s="36"/>
    </row>
    <row r="23" spans="1:9" x14ac:dyDescent="0.2">
      <c r="A23" s="34"/>
      <c r="B23" s="7"/>
      <c r="C23" s="133" t="s">
        <v>250</v>
      </c>
      <c r="D23" s="130" t="s">
        <v>107</v>
      </c>
      <c r="E23" s="131">
        <v>4</v>
      </c>
      <c r="F23" s="131">
        <v>0.05</v>
      </c>
      <c r="G23" s="132">
        <v>1747</v>
      </c>
      <c r="H23" s="132">
        <v>7337</v>
      </c>
      <c r="I23" s="36"/>
    </row>
    <row r="24" spans="1:9" x14ac:dyDescent="0.2">
      <c r="A24" s="34"/>
      <c r="B24" s="7"/>
      <c r="C24" s="133" t="s">
        <v>251</v>
      </c>
      <c r="D24" s="130" t="s">
        <v>107</v>
      </c>
      <c r="E24" s="131">
        <v>4</v>
      </c>
      <c r="F24" s="131">
        <v>0.05</v>
      </c>
      <c r="G24" s="132">
        <v>79</v>
      </c>
      <c r="H24" s="132">
        <v>332</v>
      </c>
      <c r="I24" s="36"/>
    </row>
    <row r="25" spans="1:9" x14ac:dyDescent="0.2">
      <c r="A25" s="34"/>
      <c r="B25" s="7"/>
      <c r="C25" s="133" t="s">
        <v>252</v>
      </c>
      <c r="D25" s="130" t="s">
        <v>107</v>
      </c>
      <c r="E25" s="131">
        <v>1</v>
      </c>
      <c r="F25" s="131">
        <v>0</v>
      </c>
      <c r="G25" s="132">
        <v>5172</v>
      </c>
      <c r="H25" s="132">
        <v>5172</v>
      </c>
      <c r="I25" s="36"/>
    </row>
    <row r="26" spans="1:9" x14ac:dyDescent="0.2">
      <c r="A26" s="34"/>
      <c r="B26" s="7"/>
      <c r="C26" s="133" t="s">
        <v>253</v>
      </c>
      <c r="D26" s="130" t="s">
        <v>107</v>
      </c>
      <c r="E26" s="131">
        <v>4</v>
      </c>
      <c r="F26" s="131">
        <v>0</v>
      </c>
      <c r="G26" s="132">
        <v>2089</v>
      </c>
      <c r="H26" s="132">
        <v>8356</v>
      </c>
      <c r="I26" s="36"/>
    </row>
    <row r="27" spans="1:9" x14ac:dyDescent="0.2">
      <c r="A27" s="34"/>
      <c r="B27" s="7"/>
      <c r="C27" s="133" t="s">
        <v>254</v>
      </c>
      <c r="D27" s="130" t="s">
        <v>107</v>
      </c>
      <c r="E27" s="131">
        <v>6</v>
      </c>
      <c r="F27" s="131">
        <v>0.05</v>
      </c>
      <c r="G27" s="131">
        <v>54</v>
      </c>
      <c r="H27" s="132">
        <v>340</v>
      </c>
      <c r="I27" s="36"/>
    </row>
    <row r="28" spans="1:9" x14ac:dyDescent="0.2">
      <c r="A28" s="34"/>
      <c r="B28" s="7"/>
      <c r="C28" s="133" t="s">
        <v>255</v>
      </c>
      <c r="D28" s="130" t="s">
        <v>107</v>
      </c>
      <c r="E28" s="131">
        <v>4</v>
      </c>
      <c r="F28" s="131">
        <v>0.05</v>
      </c>
      <c r="G28" s="132">
        <v>66</v>
      </c>
      <c r="H28" s="132">
        <v>277</v>
      </c>
      <c r="I28" s="36"/>
    </row>
    <row r="29" spans="1:9" x14ac:dyDescent="0.2">
      <c r="A29" s="34"/>
      <c r="B29" s="7"/>
      <c r="C29" s="133" t="s">
        <v>256</v>
      </c>
      <c r="D29" s="131" t="s">
        <v>107</v>
      </c>
      <c r="E29" s="131">
        <v>1</v>
      </c>
      <c r="F29" s="131">
        <v>0</v>
      </c>
      <c r="G29" s="132">
        <v>245000</v>
      </c>
      <c r="H29" s="132">
        <v>245000</v>
      </c>
      <c r="I29" s="36"/>
    </row>
    <row r="30" spans="1:9" x14ac:dyDescent="0.2">
      <c r="A30" s="34"/>
      <c r="B30" s="7"/>
      <c r="C30" s="133" t="s">
        <v>257</v>
      </c>
      <c r="D30" s="130" t="s">
        <v>107</v>
      </c>
      <c r="E30" s="131">
        <v>1</v>
      </c>
      <c r="F30" s="131">
        <v>0</v>
      </c>
      <c r="G30" s="132">
        <v>514500</v>
      </c>
      <c r="H30" s="132">
        <v>514500</v>
      </c>
      <c r="I30" s="36"/>
    </row>
    <row r="31" spans="1:9" x14ac:dyDescent="0.2">
      <c r="A31" s="34"/>
      <c r="B31" s="7"/>
      <c r="C31" s="133" t="s">
        <v>258</v>
      </c>
      <c r="D31" s="130" t="s">
        <v>107</v>
      </c>
      <c r="E31" s="131">
        <v>1</v>
      </c>
      <c r="F31" s="131">
        <v>0</v>
      </c>
      <c r="G31" s="132">
        <v>1674</v>
      </c>
      <c r="H31" s="132">
        <v>1674</v>
      </c>
      <c r="I31" s="36"/>
    </row>
    <row r="32" spans="1:9" x14ac:dyDescent="0.2">
      <c r="A32" s="34"/>
      <c r="B32" s="7"/>
      <c r="C32" s="133" t="s">
        <v>259</v>
      </c>
      <c r="D32" s="130" t="s">
        <v>107</v>
      </c>
      <c r="E32" s="131">
        <v>2</v>
      </c>
      <c r="F32" s="131">
        <v>0</v>
      </c>
      <c r="G32" s="132">
        <v>2754</v>
      </c>
      <c r="H32" s="132">
        <v>5508</v>
      </c>
      <c r="I32" s="36"/>
    </row>
    <row r="33" spans="1:9" x14ac:dyDescent="0.2">
      <c r="A33" s="34"/>
      <c r="B33" s="7"/>
      <c r="C33" s="133" t="s">
        <v>260</v>
      </c>
      <c r="D33" s="130" t="s">
        <v>149</v>
      </c>
      <c r="E33" s="131">
        <v>2</v>
      </c>
      <c r="F33" s="131">
        <v>0.05</v>
      </c>
      <c r="G33" s="132">
        <v>3618</v>
      </c>
      <c r="H33" s="132">
        <v>7598</v>
      </c>
      <c r="I33" s="36"/>
    </row>
    <row r="34" spans="1:9" x14ac:dyDescent="0.2">
      <c r="A34" s="34"/>
      <c r="B34" s="7"/>
      <c r="C34" s="133" t="s">
        <v>261</v>
      </c>
      <c r="D34" s="130" t="s">
        <v>107</v>
      </c>
      <c r="E34" s="131">
        <v>1</v>
      </c>
      <c r="F34" s="131">
        <v>0</v>
      </c>
      <c r="G34" s="132">
        <v>4127</v>
      </c>
      <c r="H34" s="132">
        <v>4127</v>
      </c>
      <c r="I34" s="36"/>
    </row>
    <row r="35" spans="1:9" x14ac:dyDescent="0.2">
      <c r="A35" s="34"/>
      <c r="B35" s="7"/>
      <c r="C35" s="133" t="s">
        <v>262</v>
      </c>
      <c r="D35" s="130" t="s">
        <v>107</v>
      </c>
      <c r="E35" s="131">
        <v>1</v>
      </c>
      <c r="F35" s="131">
        <v>0</v>
      </c>
      <c r="G35" s="132">
        <v>149700</v>
      </c>
      <c r="H35" s="132">
        <v>149700</v>
      </c>
      <c r="I35" s="36"/>
    </row>
    <row r="36" spans="1:9" x14ac:dyDescent="0.2">
      <c r="A36" s="34"/>
      <c r="B36" s="7"/>
      <c r="C36" s="133" t="s">
        <v>263</v>
      </c>
      <c r="D36" s="130" t="s">
        <v>107</v>
      </c>
      <c r="E36" s="131">
        <v>2</v>
      </c>
      <c r="F36" s="131">
        <v>0.05</v>
      </c>
      <c r="G36" s="132">
        <v>7267</v>
      </c>
      <c r="H36" s="132">
        <v>15261</v>
      </c>
      <c r="I36" s="36"/>
    </row>
    <row r="37" spans="1:9" x14ac:dyDescent="0.2">
      <c r="A37" s="34"/>
      <c r="B37" s="7"/>
      <c r="C37" s="133" t="s">
        <v>264</v>
      </c>
      <c r="D37" s="130" t="s">
        <v>107</v>
      </c>
      <c r="E37" s="131">
        <v>2</v>
      </c>
      <c r="F37" s="131">
        <v>0</v>
      </c>
      <c r="G37" s="132">
        <v>3784</v>
      </c>
      <c r="H37" s="132">
        <v>7568</v>
      </c>
      <c r="I37" s="36"/>
    </row>
    <row r="38" spans="1:9" x14ac:dyDescent="0.2">
      <c r="A38" s="34"/>
      <c r="B38" s="7"/>
      <c r="C38" s="133" t="s">
        <v>265</v>
      </c>
      <c r="D38" s="130" t="s">
        <v>107</v>
      </c>
      <c r="E38" s="131">
        <v>2</v>
      </c>
      <c r="F38" s="131">
        <v>0</v>
      </c>
      <c r="G38" s="132">
        <v>318</v>
      </c>
      <c r="H38" s="132">
        <v>636</v>
      </c>
      <c r="I38" s="36"/>
    </row>
    <row r="39" spans="1:9" x14ac:dyDescent="0.2">
      <c r="A39" s="34"/>
      <c r="B39" s="7"/>
      <c r="C39" s="133" t="s">
        <v>266</v>
      </c>
      <c r="D39" s="130" t="s">
        <v>107</v>
      </c>
      <c r="E39" s="131">
        <v>3</v>
      </c>
      <c r="F39" s="131">
        <v>0</v>
      </c>
      <c r="G39" s="132">
        <v>7967</v>
      </c>
      <c r="H39" s="132">
        <v>23901</v>
      </c>
      <c r="I39" s="36"/>
    </row>
    <row r="40" spans="1:9" x14ac:dyDescent="0.2">
      <c r="A40" s="34"/>
      <c r="B40" s="7"/>
      <c r="C40" s="133" t="s">
        <v>267</v>
      </c>
      <c r="D40" s="130" t="s">
        <v>107</v>
      </c>
      <c r="E40" s="131">
        <v>3</v>
      </c>
      <c r="F40" s="131">
        <v>0</v>
      </c>
      <c r="G40" s="132">
        <v>15900</v>
      </c>
      <c r="H40" s="132">
        <v>47700</v>
      </c>
      <c r="I40" s="36"/>
    </row>
    <row r="41" spans="1:9" x14ac:dyDescent="0.2">
      <c r="A41" s="34"/>
      <c r="B41" s="7"/>
      <c r="C41" s="133" t="s">
        <v>268</v>
      </c>
      <c r="D41" s="130" t="s">
        <v>269</v>
      </c>
      <c r="E41" s="131">
        <v>0.36</v>
      </c>
      <c r="F41" s="131">
        <v>0</v>
      </c>
      <c r="G41" s="132">
        <v>19914</v>
      </c>
      <c r="H41" s="132">
        <v>7169</v>
      </c>
      <c r="I41" s="36"/>
    </row>
    <row r="42" spans="1:9" x14ac:dyDescent="0.2">
      <c r="A42" s="34"/>
      <c r="B42" s="7"/>
      <c r="C42" s="133" t="s">
        <v>270</v>
      </c>
      <c r="D42" s="130" t="s">
        <v>107</v>
      </c>
      <c r="E42" s="131">
        <v>3</v>
      </c>
      <c r="F42" s="131">
        <v>0</v>
      </c>
      <c r="G42" s="132">
        <v>18093</v>
      </c>
      <c r="H42" s="132">
        <v>54279</v>
      </c>
      <c r="I42" s="36"/>
    </row>
    <row r="43" spans="1:9" x14ac:dyDescent="0.2">
      <c r="A43" s="34"/>
      <c r="B43" s="7"/>
      <c r="C43" s="133" t="s">
        <v>271</v>
      </c>
      <c r="D43" s="130" t="s">
        <v>107</v>
      </c>
      <c r="E43" s="131">
        <v>20</v>
      </c>
      <c r="F43" s="131">
        <v>0</v>
      </c>
      <c r="G43" s="132">
        <v>100</v>
      </c>
      <c r="H43" s="132">
        <v>2000</v>
      </c>
      <c r="I43" s="36"/>
    </row>
    <row r="44" spans="1:9" x14ac:dyDescent="0.2">
      <c r="A44" s="34"/>
      <c r="B44" s="7"/>
      <c r="C44" s="133" t="s">
        <v>272</v>
      </c>
      <c r="D44" s="130" t="s">
        <v>246</v>
      </c>
      <c r="E44" s="131">
        <v>15</v>
      </c>
      <c r="F44" s="131">
        <v>0.05</v>
      </c>
      <c r="G44" s="132">
        <v>3881</v>
      </c>
      <c r="H44" s="132">
        <v>61126</v>
      </c>
      <c r="I44" s="36"/>
    </row>
    <row r="45" spans="1:9" x14ac:dyDescent="0.2">
      <c r="A45" s="34"/>
      <c r="B45" s="7"/>
      <c r="C45" s="133" t="s">
        <v>273</v>
      </c>
      <c r="D45" s="130" t="s">
        <v>107</v>
      </c>
      <c r="E45" s="131">
        <v>1</v>
      </c>
      <c r="F45" s="131">
        <v>0.05</v>
      </c>
      <c r="G45" s="132">
        <v>451</v>
      </c>
      <c r="H45" s="132">
        <v>474</v>
      </c>
      <c r="I45" s="36"/>
    </row>
    <row r="46" spans="1:9" x14ac:dyDescent="0.2">
      <c r="A46" s="34"/>
      <c r="B46" s="7"/>
      <c r="C46" s="133" t="s">
        <v>274</v>
      </c>
      <c r="D46" s="130" t="s">
        <v>107</v>
      </c>
      <c r="E46" s="131">
        <v>30</v>
      </c>
      <c r="F46" s="131">
        <v>0</v>
      </c>
      <c r="G46" s="132">
        <v>315</v>
      </c>
      <c r="H46" s="132">
        <v>9450</v>
      </c>
      <c r="I46" s="36"/>
    </row>
    <row r="47" spans="1:9" x14ac:dyDescent="0.2">
      <c r="A47" s="34"/>
      <c r="B47" s="7"/>
      <c r="C47" s="133" t="s">
        <v>275</v>
      </c>
      <c r="D47" s="130" t="s">
        <v>246</v>
      </c>
      <c r="E47" s="131">
        <v>1</v>
      </c>
      <c r="F47" s="131">
        <v>0.05</v>
      </c>
      <c r="G47" s="132">
        <v>290</v>
      </c>
      <c r="H47" s="132">
        <v>305</v>
      </c>
      <c r="I47" s="36"/>
    </row>
    <row r="48" spans="1:9" x14ac:dyDescent="0.2">
      <c r="A48" s="34"/>
      <c r="B48" s="7"/>
      <c r="C48" s="133" t="s">
        <v>276</v>
      </c>
      <c r="D48" s="130" t="s">
        <v>246</v>
      </c>
      <c r="E48" s="131">
        <v>1</v>
      </c>
      <c r="F48" s="131">
        <v>0.05</v>
      </c>
      <c r="G48" s="132">
        <v>290</v>
      </c>
      <c r="H48" s="132">
        <v>305</v>
      </c>
      <c r="I48" s="36"/>
    </row>
    <row r="49" spans="1:13" x14ac:dyDescent="0.2">
      <c r="A49" s="34"/>
      <c r="B49" s="7"/>
      <c r="C49" s="133" t="s">
        <v>277</v>
      </c>
      <c r="D49" s="130" t="s">
        <v>246</v>
      </c>
      <c r="E49" s="131">
        <v>1</v>
      </c>
      <c r="F49" s="131">
        <v>0.05</v>
      </c>
      <c r="G49" s="132">
        <v>290</v>
      </c>
      <c r="H49" s="132">
        <v>305</v>
      </c>
      <c r="I49" s="36"/>
    </row>
    <row r="50" spans="1:13" x14ac:dyDescent="0.2">
      <c r="A50" s="34"/>
      <c r="B50" s="7"/>
      <c r="C50" s="133" t="s">
        <v>278</v>
      </c>
      <c r="D50" s="130" t="s">
        <v>246</v>
      </c>
      <c r="E50" s="131">
        <v>1</v>
      </c>
      <c r="F50" s="131">
        <v>0.05</v>
      </c>
      <c r="G50" s="132">
        <v>290</v>
      </c>
      <c r="H50" s="132">
        <v>305</v>
      </c>
      <c r="I50" s="36"/>
    </row>
    <row r="51" spans="1:13" x14ac:dyDescent="0.2">
      <c r="A51" s="34"/>
      <c r="B51" s="7"/>
      <c r="C51" s="133" t="s">
        <v>279</v>
      </c>
      <c r="D51" s="130" t="s">
        <v>246</v>
      </c>
      <c r="E51" s="131">
        <v>1</v>
      </c>
      <c r="F51" s="131">
        <v>0.05</v>
      </c>
      <c r="G51" s="132">
        <v>290</v>
      </c>
      <c r="H51" s="132">
        <v>305</v>
      </c>
      <c r="I51" s="36"/>
    </row>
    <row r="52" spans="1:13" x14ac:dyDescent="0.2">
      <c r="A52" s="34"/>
      <c r="B52" s="7"/>
      <c r="C52" s="133" t="s">
        <v>280</v>
      </c>
      <c r="D52" s="130" t="s">
        <v>107</v>
      </c>
      <c r="E52" s="131">
        <v>9</v>
      </c>
      <c r="F52" s="131">
        <v>0</v>
      </c>
      <c r="G52" s="132">
        <v>13780</v>
      </c>
      <c r="H52" s="132">
        <v>124020</v>
      </c>
      <c r="I52" s="36"/>
    </row>
    <row r="53" spans="1:13" x14ac:dyDescent="0.2">
      <c r="A53" s="34"/>
      <c r="B53" s="7"/>
      <c r="C53" s="133" t="s">
        <v>281</v>
      </c>
      <c r="D53" s="131" t="s">
        <v>107</v>
      </c>
      <c r="E53" s="131">
        <v>1</v>
      </c>
      <c r="F53" s="131">
        <v>0.05</v>
      </c>
      <c r="G53" s="132">
        <v>111441</v>
      </c>
      <c r="H53" s="132">
        <v>117013</v>
      </c>
      <c r="I53" s="36"/>
    </row>
    <row r="54" spans="1:13" x14ac:dyDescent="0.2">
      <c r="A54" s="34"/>
      <c r="B54" s="7"/>
      <c r="C54" s="133" t="s">
        <v>282</v>
      </c>
      <c r="D54" s="131" t="s">
        <v>107</v>
      </c>
      <c r="E54" s="131">
        <v>3</v>
      </c>
      <c r="F54" s="131">
        <v>0</v>
      </c>
      <c r="G54" s="132">
        <v>11300</v>
      </c>
      <c r="H54" s="132">
        <v>33900</v>
      </c>
      <c r="I54" s="36"/>
    </row>
    <row r="55" spans="1:13" x14ac:dyDescent="0.2">
      <c r="A55" s="34"/>
      <c r="B55" s="13"/>
      <c r="C55" s="14"/>
      <c r="D55" s="26"/>
      <c r="E55" s="26"/>
      <c r="F55" s="26"/>
      <c r="G55" s="29" t="s">
        <v>42</v>
      </c>
      <c r="H55" s="16">
        <f>SUM(H15:H54)</f>
        <v>4677443</v>
      </c>
      <c r="I55" s="36"/>
    </row>
    <row r="56" spans="1:13" x14ac:dyDescent="0.2">
      <c r="A56" s="34"/>
      <c r="B56" s="13"/>
      <c r="C56" s="14"/>
      <c r="D56" s="26"/>
      <c r="E56" s="26"/>
      <c r="F56" s="26"/>
      <c r="G56" s="29" t="s">
        <v>43</v>
      </c>
      <c r="H56" s="16">
        <f>H55</f>
        <v>4677443</v>
      </c>
      <c r="I56" s="36"/>
    </row>
    <row r="57" spans="1:13" x14ac:dyDescent="0.2">
      <c r="A57" s="35"/>
      <c r="B57" s="5"/>
      <c r="C57" s="5"/>
      <c r="D57" s="5"/>
      <c r="E57" s="5"/>
      <c r="F57" s="5"/>
      <c r="G57" s="5"/>
      <c r="H57" s="5"/>
      <c r="I57" s="36"/>
    </row>
    <row r="58" spans="1:13" x14ac:dyDescent="0.2">
      <c r="A58" s="32" t="s">
        <v>44</v>
      </c>
      <c r="B58" s="4"/>
      <c r="C58" s="4"/>
      <c r="D58" s="4"/>
      <c r="E58" s="4"/>
      <c r="F58" s="4"/>
      <c r="G58" s="4"/>
      <c r="H58" s="4"/>
      <c r="I58" s="33"/>
      <c r="M58" s="8"/>
    </row>
    <row r="59" spans="1:13" x14ac:dyDescent="0.2">
      <c r="A59" s="34"/>
      <c r="B59" s="7" t="s">
        <v>27</v>
      </c>
      <c r="C59" s="7" t="s">
        <v>28</v>
      </c>
      <c r="D59" s="7" t="s">
        <v>11</v>
      </c>
      <c r="E59" s="7" t="s">
        <v>29</v>
      </c>
      <c r="F59" s="7" t="s">
        <v>31</v>
      </c>
      <c r="G59" s="7" t="s">
        <v>45</v>
      </c>
      <c r="H59" s="7" t="s">
        <v>46</v>
      </c>
      <c r="I59" s="33"/>
    </row>
    <row r="60" spans="1:13" x14ac:dyDescent="0.2">
      <c r="A60" s="34"/>
      <c r="B60" s="17"/>
      <c r="C60" s="53" t="s">
        <v>47</v>
      </c>
      <c r="D60" s="21" t="s">
        <v>48</v>
      </c>
      <c r="E60" s="21">
        <v>1</v>
      </c>
      <c r="F60" s="21">
        <f>H55*0.005</f>
        <v>23387.215</v>
      </c>
      <c r="G60" s="21">
        <v>1</v>
      </c>
      <c r="H60" s="22">
        <f>F60*E60*G60</f>
        <v>23387.215</v>
      </c>
      <c r="I60" s="33"/>
      <c r="K60" s="9"/>
    </row>
    <row r="61" spans="1:13" x14ac:dyDescent="0.2">
      <c r="A61" s="34"/>
      <c r="B61" s="13"/>
      <c r="C61" s="14"/>
      <c r="D61" s="15"/>
      <c r="E61" s="15"/>
      <c r="F61" s="15"/>
      <c r="G61" s="30" t="s">
        <v>49</v>
      </c>
      <c r="H61" s="27">
        <f>SUM(H60)</f>
        <v>23387.215</v>
      </c>
      <c r="I61" s="33"/>
      <c r="K61" s="9"/>
    </row>
    <row r="62" spans="1:13" x14ac:dyDescent="0.2">
      <c r="A62" s="34"/>
      <c r="B62" s="13"/>
      <c r="C62" s="14"/>
      <c r="D62" s="15"/>
      <c r="E62" s="15"/>
      <c r="F62" s="15"/>
      <c r="G62" s="30" t="s">
        <v>50</v>
      </c>
      <c r="H62" s="27">
        <f>H61/$H$8</f>
        <v>23387.215</v>
      </c>
      <c r="I62" s="33"/>
      <c r="K62" s="9"/>
    </row>
    <row r="63" spans="1:13" x14ac:dyDescent="0.2">
      <c r="A63" s="32"/>
      <c r="B63" s="10"/>
      <c r="C63" s="4"/>
      <c r="D63" s="11"/>
      <c r="E63" s="11"/>
      <c r="F63" s="11"/>
      <c r="G63" s="11"/>
      <c r="H63" s="12"/>
      <c r="I63" s="33"/>
      <c r="K63" s="9"/>
    </row>
    <row r="64" spans="1:13" x14ac:dyDescent="0.2">
      <c r="A64" s="32" t="s">
        <v>51</v>
      </c>
      <c r="B64" s="10"/>
      <c r="C64" s="4"/>
      <c r="D64" s="11"/>
      <c r="E64" s="11"/>
      <c r="F64" s="11"/>
      <c r="G64" s="11"/>
      <c r="H64" s="12"/>
      <c r="I64" s="33"/>
      <c r="K64" s="9"/>
    </row>
    <row r="65" spans="1:11" x14ac:dyDescent="0.2">
      <c r="A65" s="32"/>
      <c r="B65" s="7" t="s">
        <v>27</v>
      </c>
      <c r="C65" s="7" t="s">
        <v>28</v>
      </c>
      <c r="D65" s="7" t="s">
        <v>11</v>
      </c>
      <c r="E65" s="7" t="s">
        <v>29</v>
      </c>
      <c r="F65" s="7" t="s">
        <v>52</v>
      </c>
      <c r="G65" s="7"/>
      <c r="H65" s="7" t="s">
        <v>46</v>
      </c>
      <c r="I65" s="33"/>
      <c r="K65" s="9"/>
    </row>
    <row r="66" spans="1:11" x14ac:dyDescent="0.2">
      <c r="A66" s="32"/>
      <c r="B66" s="17"/>
      <c r="C66" s="53" t="s">
        <v>117</v>
      </c>
      <c r="D66" s="21" t="s">
        <v>118</v>
      </c>
      <c r="E66" s="20">
        <f>E67/2</f>
        <v>0.5</v>
      </c>
      <c r="F66" s="18">
        <v>40000</v>
      </c>
      <c r="G66" s="21"/>
      <c r="H66" s="18">
        <f>E66*F66</f>
        <v>20000</v>
      </c>
      <c r="I66" s="33"/>
    </row>
    <row r="67" spans="1:11" x14ac:dyDescent="0.2">
      <c r="A67" s="32"/>
      <c r="B67" s="17"/>
      <c r="C67" s="53" t="s">
        <v>53</v>
      </c>
      <c r="D67" s="21" t="s">
        <v>118</v>
      </c>
      <c r="E67" s="20">
        <v>1</v>
      </c>
      <c r="F67" s="18">
        <v>35000</v>
      </c>
      <c r="G67" s="62"/>
      <c r="H67" s="18">
        <f>E67*F67</f>
        <v>35000</v>
      </c>
      <c r="I67" s="33"/>
    </row>
    <row r="68" spans="1:11" x14ac:dyDescent="0.2">
      <c r="A68" s="32"/>
      <c r="B68" s="17"/>
      <c r="C68" s="53" t="s">
        <v>55</v>
      </c>
      <c r="D68" s="21" t="s">
        <v>118</v>
      </c>
      <c r="E68" s="20">
        <v>1</v>
      </c>
      <c r="F68" s="18">
        <v>30000</v>
      </c>
      <c r="G68" s="62"/>
      <c r="H68" s="18">
        <f>E68*F68</f>
        <v>30000</v>
      </c>
      <c r="I68" s="33"/>
    </row>
    <row r="69" spans="1:11" x14ac:dyDescent="0.2">
      <c r="A69" s="32"/>
      <c r="B69" s="17"/>
      <c r="C69" s="53" t="s">
        <v>57</v>
      </c>
      <c r="D69" s="21" t="s">
        <v>118</v>
      </c>
      <c r="E69" s="20">
        <v>1</v>
      </c>
      <c r="F69" s="18">
        <v>25000</v>
      </c>
      <c r="G69" s="62"/>
      <c r="H69" s="18">
        <f t="shared" ref="H69" si="0">E69*F69</f>
        <v>25000</v>
      </c>
      <c r="I69" s="33"/>
    </row>
    <row r="70" spans="1:11" x14ac:dyDescent="0.2">
      <c r="A70" s="32"/>
      <c r="B70" s="10"/>
      <c r="C70" s="4"/>
      <c r="D70" s="11"/>
      <c r="E70" s="11"/>
      <c r="F70" s="11"/>
      <c r="G70" s="30" t="s">
        <v>58</v>
      </c>
      <c r="H70" s="63">
        <f>SUM(H66:H69)</f>
        <v>110000</v>
      </c>
      <c r="I70" s="33"/>
    </row>
    <row r="71" spans="1:11" x14ac:dyDescent="0.2">
      <c r="A71" s="32"/>
      <c r="B71" s="10"/>
      <c r="C71" s="4"/>
      <c r="D71" s="11"/>
      <c r="E71" s="11"/>
      <c r="F71" s="11"/>
      <c r="G71" s="31"/>
      <c r="H71" s="12"/>
      <c r="I71" s="33"/>
    </row>
    <row r="72" spans="1:11" x14ac:dyDescent="0.2">
      <c r="A72" s="32"/>
      <c r="B72" s="10"/>
      <c r="C72" s="4"/>
      <c r="D72" s="11"/>
      <c r="E72" s="11"/>
      <c r="F72" s="11"/>
      <c r="G72" s="30" t="s">
        <v>59</v>
      </c>
      <c r="H72" s="63">
        <f>H70</f>
        <v>110000</v>
      </c>
      <c r="I72" s="33"/>
    </row>
    <row r="73" spans="1:11" x14ac:dyDescent="0.2">
      <c r="A73" s="32"/>
      <c r="B73" s="10"/>
      <c r="C73" s="4"/>
      <c r="D73" s="11"/>
      <c r="E73" s="69">
        <v>0.56999999999999995</v>
      </c>
      <c r="F73" s="11"/>
      <c r="G73" s="30" t="s">
        <v>60</v>
      </c>
      <c r="H73" s="70">
        <f>H72*E73</f>
        <v>62699.999999999993</v>
      </c>
      <c r="I73" s="33"/>
    </row>
    <row r="74" spans="1:11" x14ac:dyDescent="0.2">
      <c r="A74" s="32"/>
      <c r="B74" s="10"/>
      <c r="C74" s="4"/>
      <c r="D74" s="11"/>
      <c r="E74" s="69">
        <v>0</v>
      </c>
      <c r="F74" s="11"/>
      <c r="G74" s="30" t="s">
        <v>61</v>
      </c>
      <c r="H74" s="63">
        <f>H72*E74</f>
        <v>0</v>
      </c>
      <c r="I74" s="33"/>
    </row>
    <row r="75" spans="1:11" x14ac:dyDescent="0.2">
      <c r="A75" s="32"/>
      <c r="B75" s="10"/>
      <c r="C75" s="4"/>
      <c r="D75" s="11"/>
      <c r="E75" s="11"/>
      <c r="F75" s="11"/>
      <c r="G75" s="31"/>
      <c r="H75" s="12"/>
      <c r="I75" s="33"/>
    </row>
    <row r="76" spans="1:11" x14ac:dyDescent="0.2">
      <c r="A76" s="32"/>
      <c r="B76" s="10"/>
      <c r="C76" s="4"/>
      <c r="D76" s="11"/>
      <c r="E76" s="11"/>
      <c r="F76" s="11"/>
      <c r="G76" s="30" t="s">
        <v>58</v>
      </c>
      <c r="H76" s="63">
        <f>H72+H73+H74</f>
        <v>172700</v>
      </c>
      <c r="I76" s="33"/>
    </row>
    <row r="77" spans="1:11" x14ac:dyDescent="0.2">
      <c r="A77" s="32"/>
      <c r="B77" s="10"/>
      <c r="C77" s="4"/>
      <c r="D77" s="11"/>
      <c r="E77" s="11"/>
      <c r="F77" s="11"/>
      <c r="G77" s="30" t="s">
        <v>62</v>
      </c>
      <c r="H77" s="71">
        <f>H76/$H$8</f>
        <v>172700</v>
      </c>
      <c r="I77" s="33"/>
    </row>
    <row r="78" spans="1:11" x14ac:dyDescent="0.2">
      <c r="A78" s="32"/>
      <c r="B78" s="10"/>
      <c r="C78" s="4"/>
      <c r="D78" s="11"/>
      <c r="E78" s="11"/>
      <c r="F78" s="11"/>
      <c r="G78" s="31"/>
      <c r="H78" s="12"/>
      <c r="I78" s="33"/>
    </row>
    <row r="79" spans="1:11" x14ac:dyDescent="0.2">
      <c r="A79" s="32"/>
      <c r="B79" s="10"/>
      <c r="C79" s="4"/>
      <c r="D79" s="11"/>
      <c r="E79" s="11"/>
      <c r="F79" s="11"/>
      <c r="G79" s="30" t="s">
        <v>63</v>
      </c>
      <c r="H79" s="63">
        <f>H56+H62+H77</f>
        <v>4873530.2149999999</v>
      </c>
      <c r="I79" s="33"/>
    </row>
    <row r="80" spans="1:11" x14ac:dyDescent="0.2">
      <c r="A80" s="32"/>
      <c r="B80" s="10"/>
      <c r="C80" s="4"/>
      <c r="D80" s="11"/>
      <c r="E80" s="11"/>
      <c r="F80" s="11"/>
      <c r="G80" s="11"/>
      <c r="H80" s="63"/>
      <c r="I80" s="33"/>
    </row>
    <row r="81" spans="1:9" x14ac:dyDescent="0.2">
      <c r="A81" s="32"/>
      <c r="B81" s="10"/>
      <c r="C81" s="4"/>
      <c r="D81" s="69">
        <v>0</v>
      </c>
      <c r="E81" s="11"/>
      <c r="F81" s="11"/>
      <c r="G81" s="28" t="s">
        <v>64</v>
      </c>
      <c r="H81" s="63">
        <f>D81*H79</f>
        <v>0</v>
      </c>
      <c r="I81" s="33"/>
    </row>
    <row r="82" spans="1:9" x14ac:dyDescent="0.2">
      <c r="A82" s="32"/>
      <c r="B82" s="10"/>
      <c r="C82" s="4"/>
      <c r="D82" s="11"/>
      <c r="E82" s="11"/>
      <c r="F82" s="11"/>
      <c r="G82" s="28" t="s">
        <v>65</v>
      </c>
      <c r="H82" s="63">
        <f>H79+H81</f>
        <v>4873530.2149999999</v>
      </c>
      <c r="I82" s="33"/>
    </row>
    <row r="83" spans="1:9" x14ac:dyDescent="0.2">
      <c r="A83" s="32"/>
      <c r="B83" s="10"/>
      <c r="C83" s="4"/>
      <c r="D83" s="69">
        <v>0</v>
      </c>
      <c r="E83" s="11"/>
      <c r="F83" s="11"/>
      <c r="G83" s="28" t="s">
        <v>66</v>
      </c>
      <c r="H83" s="63">
        <f>D83*H82</f>
        <v>0</v>
      </c>
      <c r="I83" s="33"/>
    </row>
    <row r="84" spans="1:9" x14ac:dyDescent="0.2">
      <c r="A84" s="32"/>
      <c r="B84" s="10"/>
      <c r="C84" s="4"/>
      <c r="D84" s="11"/>
      <c r="E84" s="11"/>
      <c r="F84" s="11"/>
      <c r="G84" s="11"/>
      <c r="H84" s="12"/>
      <c r="I84" s="33"/>
    </row>
    <row r="85" spans="1:9" x14ac:dyDescent="0.2">
      <c r="A85" s="32"/>
      <c r="B85" s="10"/>
      <c r="C85" s="4"/>
      <c r="D85" s="11"/>
      <c r="E85" s="11"/>
      <c r="F85" s="11"/>
      <c r="H85" s="12"/>
      <c r="I85" s="33"/>
    </row>
    <row r="86" spans="1:9" x14ac:dyDescent="0.2">
      <c r="A86" s="32"/>
      <c r="B86" s="10"/>
      <c r="C86" s="4"/>
      <c r="D86" s="11"/>
      <c r="E86" s="11"/>
      <c r="F86" s="40"/>
      <c r="G86" s="41" t="s">
        <v>67</v>
      </c>
      <c r="H86" s="72">
        <f>H82+H83</f>
        <v>4873530.2149999999</v>
      </c>
      <c r="I86" s="33"/>
    </row>
    <row r="87" spans="1:9" x14ac:dyDescent="0.2">
      <c r="A87" s="32"/>
      <c r="B87" s="10"/>
      <c r="C87" s="4"/>
      <c r="D87" s="11"/>
      <c r="E87" s="11"/>
      <c r="F87" s="40"/>
      <c r="G87" s="41" t="s">
        <v>68</v>
      </c>
      <c r="H87" s="72">
        <f>(H56+H62+(H77*H10))</f>
        <v>4823058.8889269698</v>
      </c>
      <c r="I87" s="33"/>
    </row>
    <row r="88" spans="1:9" x14ac:dyDescent="0.2">
      <c r="A88" s="32"/>
      <c r="B88" s="10"/>
      <c r="C88" s="4"/>
      <c r="D88" s="11"/>
      <c r="E88" s="11"/>
      <c r="F88" s="11"/>
      <c r="G88" s="11"/>
      <c r="H88" s="12"/>
      <c r="I88" s="33"/>
    </row>
  </sheetData>
  <mergeCells count="2">
    <mergeCell ref="A7:I7"/>
    <mergeCell ref="B11:C11"/>
  </mergeCells>
  <pageMargins left="0.7" right="0.7" top="0.75" bottom="0.75" header="0.3" footer="0.3"/>
  <pageSetup scale="5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48A320-12D6-4504-AD13-B3C6E5C6B12D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A1:M65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69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23</v>
      </c>
      <c r="G8" s="23" t="s">
        <v>24</v>
      </c>
      <c r="H8" s="25">
        <v>15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84" t="s">
        <v>70</v>
      </c>
      <c r="C11" s="4"/>
      <c r="D11" s="5"/>
      <c r="E11" s="23"/>
      <c r="F11" s="24"/>
      <c r="G11" s="23"/>
      <c r="H11" s="25"/>
      <c r="I11" s="36"/>
    </row>
    <row r="12" spans="1:11" x14ac:dyDescent="0.2">
      <c r="A12" s="35"/>
      <c r="B12" s="4"/>
      <c r="C12" s="4"/>
      <c r="D12" s="5"/>
      <c r="E12" s="23"/>
      <c r="F12" s="24"/>
      <c r="G12" s="23"/>
      <c r="H12" s="2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/>
    </row>
    <row r="15" spans="1:11" x14ac:dyDescent="0.2">
      <c r="A15" s="34"/>
      <c r="B15" s="7"/>
      <c r="C15" s="57" t="s">
        <v>71</v>
      </c>
      <c r="D15" s="56" t="s">
        <v>36</v>
      </c>
      <c r="E15" s="56">
        <v>0.46</v>
      </c>
      <c r="F15" s="86">
        <v>0</v>
      </c>
      <c r="G15" s="60">
        <v>35200</v>
      </c>
      <c r="H15" s="58">
        <f>E15*(1+F15)*G15</f>
        <v>16192</v>
      </c>
      <c r="I15" s="36"/>
      <c r="J15" s="122"/>
      <c r="K15" s="8"/>
    </row>
    <row r="16" spans="1:11" x14ac:dyDescent="0.2">
      <c r="A16" s="34"/>
      <c r="B16" s="7"/>
      <c r="C16" s="57" t="s">
        <v>72</v>
      </c>
      <c r="D16" s="56" t="s">
        <v>36</v>
      </c>
      <c r="E16" s="56">
        <v>0.46</v>
      </c>
      <c r="F16" s="86">
        <v>0</v>
      </c>
      <c r="G16" s="60">
        <v>23554</v>
      </c>
      <c r="H16" s="58">
        <f t="shared" ref="H16:H31" si="0">E16*(1+F16)*G16</f>
        <v>10834.84</v>
      </c>
      <c r="I16" s="36"/>
      <c r="J16" s="122"/>
      <c r="K16" s="8"/>
    </row>
    <row r="17" spans="1:11" x14ac:dyDescent="0.2">
      <c r="A17" s="34"/>
      <c r="B17" s="7"/>
      <c r="C17" s="57" t="s">
        <v>73</v>
      </c>
      <c r="D17" s="56" t="s">
        <v>36</v>
      </c>
      <c r="E17" s="56">
        <v>0.46</v>
      </c>
      <c r="F17" s="86">
        <v>0</v>
      </c>
      <c r="G17" s="60">
        <v>4366</v>
      </c>
      <c r="H17" s="58">
        <f t="shared" si="0"/>
        <v>2008.3600000000001</v>
      </c>
      <c r="I17" s="36"/>
      <c r="J17" s="122"/>
      <c r="K17" s="8"/>
    </row>
    <row r="18" spans="1:11" s="4" customFormat="1" x14ac:dyDescent="0.2">
      <c r="A18" s="34"/>
      <c r="B18" s="7"/>
      <c r="C18" s="103" t="s">
        <v>74</v>
      </c>
      <c r="D18" s="102" t="s">
        <v>36</v>
      </c>
      <c r="E18" s="102">
        <v>1.05</v>
      </c>
      <c r="F18" s="110">
        <v>0</v>
      </c>
      <c r="G18" s="105">
        <v>23600</v>
      </c>
      <c r="H18" s="106">
        <f t="shared" si="0"/>
        <v>24780</v>
      </c>
      <c r="I18" s="36"/>
      <c r="J18" s="90"/>
      <c r="K18" s="120"/>
    </row>
    <row r="19" spans="1:11" x14ac:dyDescent="0.2">
      <c r="A19" s="34"/>
      <c r="B19" s="7"/>
      <c r="C19" s="57" t="s">
        <v>75</v>
      </c>
      <c r="D19" s="56" t="s">
        <v>36</v>
      </c>
      <c r="E19" s="56">
        <v>6.43</v>
      </c>
      <c r="F19" s="86">
        <v>0</v>
      </c>
      <c r="G19" s="60">
        <v>1138</v>
      </c>
      <c r="H19" s="58">
        <f t="shared" si="0"/>
        <v>7317.3399999999992</v>
      </c>
      <c r="I19" s="36"/>
      <c r="K19" s="8"/>
    </row>
    <row r="20" spans="1:11" x14ac:dyDescent="0.2">
      <c r="A20" s="34"/>
      <c r="B20" s="7"/>
      <c r="C20" s="57" t="s">
        <v>76</v>
      </c>
      <c r="D20" s="56" t="s">
        <v>36</v>
      </c>
      <c r="E20" s="56">
        <v>0.46</v>
      </c>
      <c r="F20" s="86">
        <v>0</v>
      </c>
      <c r="G20" s="60">
        <v>2474</v>
      </c>
      <c r="H20" s="58">
        <f t="shared" si="0"/>
        <v>1138.04</v>
      </c>
      <c r="I20" s="36"/>
      <c r="K20" s="8"/>
    </row>
    <row r="21" spans="1:11" x14ac:dyDescent="0.2">
      <c r="A21" s="34"/>
      <c r="B21" s="7"/>
      <c r="C21" s="57" t="s">
        <v>77</v>
      </c>
      <c r="D21" s="56" t="s">
        <v>36</v>
      </c>
      <c r="E21" s="56">
        <v>0.89</v>
      </c>
      <c r="F21" s="86">
        <v>0</v>
      </c>
      <c r="G21" s="60">
        <v>1254</v>
      </c>
      <c r="H21" s="58">
        <f t="shared" si="0"/>
        <v>1116.06</v>
      </c>
      <c r="I21" s="36"/>
      <c r="K21" s="8"/>
    </row>
    <row r="22" spans="1:11" x14ac:dyDescent="0.2">
      <c r="A22" s="34"/>
      <c r="B22" s="7"/>
      <c r="C22" s="57" t="s">
        <v>78</v>
      </c>
      <c r="D22" s="56" t="s">
        <v>36</v>
      </c>
      <c r="E22" s="56">
        <v>0.47</v>
      </c>
      <c r="F22" s="86">
        <v>0</v>
      </c>
      <c r="G22" s="60">
        <v>7850</v>
      </c>
      <c r="H22" s="58">
        <f t="shared" si="0"/>
        <v>3689.5</v>
      </c>
      <c r="I22" s="36"/>
      <c r="K22" s="8"/>
    </row>
    <row r="23" spans="1:11" x14ac:dyDescent="0.2">
      <c r="A23" s="34"/>
      <c r="B23" s="7"/>
      <c r="C23" s="57" t="s">
        <v>79</v>
      </c>
      <c r="D23" s="56" t="s">
        <v>36</v>
      </c>
      <c r="E23" s="56">
        <v>8.99</v>
      </c>
      <c r="F23" s="86">
        <v>0</v>
      </c>
      <c r="G23" s="60">
        <v>133</v>
      </c>
      <c r="H23" s="58">
        <f t="shared" si="0"/>
        <v>1195.67</v>
      </c>
      <c r="I23" s="36"/>
      <c r="K23" s="8"/>
    </row>
    <row r="24" spans="1:11" x14ac:dyDescent="0.2">
      <c r="A24" s="34"/>
      <c r="B24" s="7"/>
      <c r="C24" s="57" t="s">
        <v>80</v>
      </c>
      <c r="D24" s="56" t="s">
        <v>36</v>
      </c>
      <c r="E24" s="56">
        <v>8.99</v>
      </c>
      <c r="F24" s="86">
        <v>0</v>
      </c>
      <c r="G24" s="60">
        <v>86</v>
      </c>
      <c r="H24" s="58">
        <f t="shared" si="0"/>
        <v>773.14</v>
      </c>
      <c r="I24" s="36"/>
      <c r="K24" s="8"/>
    </row>
    <row r="25" spans="1:11" x14ac:dyDescent="0.2">
      <c r="A25" s="34"/>
      <c r="B25" s="7"/>
      <c r="C25" s="57" t="s">
        <v>81</v>
      </c>
      <c r="D25" s="56" t="s">
        <v>36</v>
      </c>
      <c r="E25" s="56">
        <v>17.989999999999998</v>
      </c>
      <c r="F25" s="86">
        <v>0</v>
      </c>
      <c r="G25" s="60">
        <v>86</v>
      </c>
      <c r="H25" s="58">
        <f t="shared" si="0"/>
        <v>1547.1399999999999</v>
      </c>
      <c r="I25" s="36"/>
      <c r="K25" s="8"/>
    </row>
    <row r="26" spans="1:11" x14ac:dyDescent="0.2">
      <c r="A26" s="34"/>
      <c r="B26" s="7"/>
      <c r="C26" s="57" t="s">
        <v>82</v>
      </c>
      <c r="D26" s="56" t="s">
        <v>36</v>
      </c>
      <c r="E26" s="56">
        <v>4.29</v>
      </c>
      <c r="F26" s="86">
        <v>0</v>
      </c>
      <c r="G26" s="60">
        <v>1224</v>
      </c>
      <c r="H26" s="58">
        <f t="shared" si="0"/>
        <v>5250.96</v>
      </c>
      <c r="I26" s="36"/>
      <c r="K26" s="8"/>
    </row>
    <row r="27" spans="1:11" x14ac:dyDescent="0.2">
      <c r="A27" s="34"/>
      <c r="B27" s="7"/>
      <c r="C27" s="57" t="s">
        <v>83</v>
      </c>
      <c r="D27" s="56" t="s">
        <v>36</v>
      </c>
      <c r="E27" s="56">
        <v>0.31</v>
      </c>
      <c r="F27" s="86">
        <v>0</v>
      </c>
      <c r="G27" s="60">
        <v>403</v>
      </c>
      <c r="H27" s="58">
        <f t="shared" si="0"/>
        <v>124.92999999999999</v>
      </c>
      <c r="I27" s="36"/>
      <c r="K27" s="8"/>
    </row>
    <row r="28" spans="1:11" x14ac:dyDescent="0.2">
      <c r="A28" s="34"/>
      <c r="B28" s="7"/>
      <c r="C28" s="57" t="s">
        <v>84</v>
      </c>
      <c r="D28" s="56" t="s">
        <v>36</v>
      </c>
      <c r="E28" s="56">
        <v>2.09</v>
      </c>
      <c r="F28" s="86">
        <v>0</v>
      </c>
      <c r="G28" s="60">
        <v>133</v>
      </c>
      <c r="H28" s="58">
        <f t="shared" si="0"/>
        <v>277.96999999999997</v>
      </c>
      <c r="I28" s="36"/>
      <c r="K28" s="8"/>
    </row>
    <row r="29" spans="1:11" x14ac:dyDescent="0.2">
      <c r="A29" s="34"/>
      <c r="B29" s="7"/>
      <c r="C29" s="57" t="s">
        <v>85</v>
      </c>
      <c r="D29" s="56" t="s">
        <v>36</v>
      </c>
      <c r="E29" s="56">
        <v>4.18</v>
      </c>
      <c r="F29" s="86">
        <v>0</v>
      </c>
      <c r="G29" s="60">
        <v>86</v>
      </c>
      <c r="H29" s="58">
        <f t="shared" si="0"/>
        <v>359.47999999999996</v>
      </c>
      <c r="I29" s="36"/>
      <c r="K29" s="8"/>
    </row>
    <row r="30" spans="1:11" x14ac:dyDescent="0.2">
      <c r="A30" s="34"/>
      <c r="B30" s="7"/>
      <c r="C30" s="57" t="s">
        <v>86</v>
      </c>
      <c r="D30" s="56" t="s">
        <v>36</v>
      </c>
      <c r="E30" s="56">
        <v>2.09</v>
      </c>
      <c r="F30" s="86">
        <v>0</v>
      </c>
      <c r="G30" s="60">
        <v>86</v>
      </c>
      <c r="H30" s="58">
        <f t="shared" si="0"/>
        <v>179.73999999999998</v>
      </c>
      <c r="I30" s="36"/>
      <c r="K30" s="8"/>
    </row>
    <row r="31" spans="1:11" x14ac:dyDescent="0.2">
      <c r="A31" s="34"/>
      <c r="B31" s="17"/>
      <c r="C31" s="57" t="s">
        <v>87</v>
      </c>
      <c r="D31" s="56" t="s">
        <v>36</v>
      </c>
      <c r="E31" s="20">
        <v>2.09</v>
      </c>
      <c r="F31" s="86">
        <v>0</v>
      </c>
      <c r="G31" s="60">
        <v>86</v>
      </c>
      <c r="H31" s="58">
        <f t="shared" si="0"/>
        <v>179.73999999999998</v>
      </c>
      <c r="I31" s="36"/>
      <c r="K31" s="8"/>
    </row>
    <row r="32" spans="1:11" x14ac:dyDescent="0.2">
      <c r="A32" s="34"/>
      <c r="B32" s="13"/>
      <c r="C32" s="14"/>
      <c r="D32" s="26"/>
      <c r="E32" s="26"/>
      <c r="F32" s="26"/>
      <c r="G32" s="29" t="s">
        <v>42</v>
      </c>
      <c r="H32" s="16">
        <f>SUM(H15:H31)</f>
        <v>76964.909999999989</v>
      </c>
      <c r="I32" s="36"/>
    </row>
    <row r="33" spans="1:13" x14ac:dyDescent="0.2">
      <c r="A33" s="34"/>
      <c r="B33" s="13"/>
      <c r="C33" s="14"/>
      <c r="D33" s="26"/>
      <c r="E33" s="26"/>
      <c r="F33" s="26"/>
      <c r="G33" s="29" t="s">
        <v>43</v>
      </c>
      <c r="H33" s="16">
        <f>H32</f>
        <v>76964.909999999989</v>
      </c>
      <c r="I33" s="36"/>
    </row>
    <row r="34" spans="1:13" x14ac:dyDescent="0.2">
      <c r="A34" s="35"/>
      <c r="B34" s="5"/>
      <c r="C34" s="5"/>
      <c r="D34" s="5"/>
      <c r="E34" s="5"/>
      <c r="F34" s="5"/>
      <c r="G34" s="5"/>
      <c r="H34" s="5"/>
      <c r="I34" s="36"/>
    </row>
    <row r="35" spans="1:13" x14ac:dyDescent="0.2">
      <c r="A35" s="32" t="s">
        <v>44</v>
      </c>
      <c r="B35" s="4"/>
      <c r="C35" s="4"/>
      <c r="D35" s="4"/>
      <c r="E35" s="4"/>
      <c r="F35" s="4"/>
      <c r="G35" s="4"/>
      <c r="H35" s="4"/>
      <c r="I35" s="33"/>
      <c r="M35" s="8"/>
    </row>
    <row r="36" spans="1:13" x14ac:dyDescent="0.2">
      <c r="A36" s="34"/>
      <c r="B36" s="7" t="s">
        <v>27</v>
      </c>
      <c r="C36" s="7" t="s">
        <v>28</v>
      </c>
      <c r="D36" s="7" t="s">
        <v>11</v>
      </c>
      <c r="E36" s="7" t="s">
        <v>29</v>
      </c>
      <c r="F36" s="7" t="s">
        <v>31</v>
      </c>
      <c r="G36" s="7" t="s">
        <v>45</v>
      </c>
      <c r="H36" s="7" t="s">
        <v>46</v>
      </c>
      <c r="I36" s="33"/>
    </row>
    <row r="37" spans="1:13" ht="22.5" x14ac:dyDescent="0.2">
      <c r="A37" s="34"/>
      <c r="B37" s="17"/>
      <c r="C37" s="171" t="s">
        <v>88</v>
      </c>
      <c r="D37" s="21" t="s">
        <v>48</v>
      </c>
      <c r="E37" s="21">
        <v>1</v>
      </c>
      <c r="F37" s="21">
        <f>H32*0.1</f>
        <v>7696.4909999999991</v>
      </c>
      <c r="G37" s="21">
        <v>1</v>
      </c>
      <c r="H37" s="22">
        <f>F37*E37*G37</f>
        <v>7696.4909999999991</v>
      </c>
      <c r="I37" s="33"/>
      <c r="K37" s="9"/>
    </row>
    <row r="38" spans="1:13" x14ac:dyDescent="0.2">
      <c r="A38" s="34"/>
      <c r="B38" s="13"/>
      <c r="C38" s="14"/>
      <c r="D38" s="15"/>
      <c r="E38" s="15"/>
      <c r="F38" s="15"/>
      <c r="G38" s="30" t="s">
        <v>49</v>
      </c>
      <c r="H38" s="27">
        <f>SUM(H37)</f>
        <v>7696.4909999999991</v>
      </c>
      <c r="I38" s="33"/>
      <c r="K38" s="9"/>
    </row>
    <row r="39" spans="1:13" x14ac:dyDescent="0.2">
      <c r="A39" s="34"/>
      <c r="B39" s="13"/>
      <c r="C39" s="14"/>
      <c r="D39" s="15"/>
      <c r="E39" s="15"/>
      <c r="F39" s="15"/>
      <c r="G39" s="30" t="s">
        <v>50</v>
      </c>
      <c r="H39" s="27">
        <f>H38/$H$8</f>
        <v>513.09939999999995</v>
      </c>
      <c r="I39" s="33"/>
      <c r="K39" s="9"/>
    </row>
    <row r="40" spans="1:13" x14ac:dyDescent="0.2">
      <c r="A40" s="32"/>
      <c r="B40" s="10"/>
      <c r="C40" s="4"/>
      <c r="D40" s="11"/>
      <c r="E40" s="11"/>
      <c r="F40" s="11"/>
      <c r="G40" s="11"/>
      <c r="H40" s="12"/>
      <c r="I40" s="33"/>
    </row>
    <row r="41" spans="1:13" x14ac:dyDescent="0.2">
      <c r="A41" s="32" t="s">
        <v>51</v>
      </c>
      <c r="B41" s="10"/>
      <c r="C41" s="4"/>
      <c r="D41" s="11"/>
      <c r="E41" s="11"/>
      <c r="F41" s="11"/>
      <c r="G41" s="11"/>
      <c r="H41" s="12"/>
      <c r="I41" s="33"/>
    </row>
    <row r="42" spans="1:13" x14ac:dyDescent="0.2">
      <c r="A42" s="32"/>
      <c r="B42" s="7" t="s">
        <v>27</v>
      </c>
      <c r="C42" s="7" t="s">
        <v>28</v>
      </c>
      <c r="D42" s="7" t="s">
        <v>11</v>
      </c>
      <c r="E42" s="7" t="s">
        <v>29</v>
      </c>
      <c r="F42" s="7" t="s">
        <v>52</v>
      </c>
      <c r="G42" s="7"/>
      <c r="H42" s="7" t="s">
        <v>46</v>
      </c>
      <c r="I42" s="33"/>
    </row>
    <row r="43" spans="1:13" x14ac:dyDescent="0.2">
      <c r="A43" s="32"/>
      <c r="B43" s="17"/>
      <c r="C43" s="57" t="s">
        <v>89</v>
      </c>
      <c r="D43" s="21" t="s">
        <v>54</v>
      </c>
      <c r="E43" s="20">
        <f>E45/2</f>
        <v>0.5</v>
      </c>
      <c r="F43" s="21">
        <v>40000</v>
      </c>
      <c r="G43" s="21"/>
      <c r="H43" s="18">
        <f>E43*F43</f>
        <v>20000</v>
      </c>
      <c r="I43" s="33"/>
    </row>
    <row r="44" spans="1:13" x14ac:dyDescent="0.2">
      <c r="A44" s="32"/>
      <c r="B44" s="17"/>
      <c r="C44" s="57" t="s">
        <v>90</v>
      </c>
      <c r="D44" s="21" t="s">
        <v>54</v>
      </c>
      <c r="E44" s="20">
        <v>0.33</v>
      </c>
      <c r="F44" s="21">
        <v>40000</v>
      </c>
      <c r="G44" s="21"/>
      <c r="H44" s="18">
        <f t="shared" ref="H44:H46" si="1">E44*F44</f>
        <v>13200</v>
      </c>
      <c r="I44" s="33"/>
    </row>
    <row r="45" spans="1:13" x14ac:dyDescent="0.2">
      <c r="A45" s="32"/>
      <c r="B45" s="17"/>
      <c r="C45" s="57" t="s">
        <v>91</v>
      </c>
      <c r="D45" s="21" t="s">
        <v>54</v>
      </c>
      <c r="E45" s="20">
        <v>1</v>
      </c>
      <c r="F45" s="21">
        <v>35000</v>
      </c>
      <c r="G45" s="21"/>
      <c r="H45" s="18">
        <f t="shared" si="1"/>
        <v>35000</v>
      </c>
      <c r="I45" s="33"/>
    </row>
    <row r="46" spans="1:13" x14ac:dyDescent="0.2">
      <c r="A46" s="32"/>
      <c r="B46" s="17"/>
      <c r="C46" s="57" t="s">
        <v>57</v>
      </c>
      <c r="D46" s="21" t="s">
        <v>54</v>
      </c>
      <c r="E46" s="20">
        <v>3</v>
      </c>
      <c r="F46" s="21">
        <v>25000</v>
      </c>
      <c r="G46" s="21"/>
      <c r="H46" s="18">
        <f t="shared" si="1"/>
        <v>75000</v>
      </c>
      <c r="I46" s="33"/>
    </row>
    <row r="47" spans="1:13" x14ac:dyDescent="0.2">
      <c r="A47" s="66"/>
      <c r="B47" s="10"/>
      <c r="C47" s="4"/>
      <c r="D47" s="11"/>
      <c r="E47" s="11"/>
      <c r="F47" s="11"/>
      <c r="G47" s="30" t="s">
        <v>58</v>
      </c>
      <c r="H47" s="63">
        <f>SUM(H43:H46)</f>
        <v>143200</v>
      </c>
      <c r="I47" s="68"/>
    </row>
    <row r="48" spans="1:13" x14ac:dyDescent="0.2">
      <c r="A48" s="66"/>
      <c r="B48" s="10"/>
      <c r="C48" s="4"/>
      <c r="D48" s="11"/>
      <c r="E48" s="11"/>
      <c r="F48" s="11"/>
      <c r="G48" s="31"/>
      <c r="H48" s="12"/>
      <c r="I48" s="68"/>
    </row>
    <row r="49" spans="1:9" x14ac:dyDescent="0.2">
      <c r="A49" s="66"/>
      <c r="B49" s="10"/>
      <c r="C49" s="4"/>
      <c r="D49" s="11"/>
      <c r="E49" s="11"/>
      <c r="F49" s="11"/>
      <c r="G49" s="30" t="s">
        <v>59</v>
      </c>
      <c r="H49" s="63">
        <f>H47</f>
        <v>143200</v>
      </c>
      <c r="I49" s="68"/>
    </row>
    <row r="50" spans="1:9" x14ac:dyDescent="0.2">
      <c r="A50" s="66"/>
      <c r="B50" s="10"/>
      <c r="C50" s="4"/>
      <c r="D50" s="11"/>
      <c r="E50" s="69">
        <v>0.56999999999999995</v>
      </c>
      <c r="F50" s="11"/>
      <c r="G50" s="30" t="s">
        <v>60</v>
      </c>
      <c r="H50" s="70">
        <f>H49*E50</f>
        <v>81624</v>
      </c>
      <c r="I50" s="68"/>
    </row>
    <row r="51" spans="1:9" x14ac:dyDescent="0.2">
      <c r="A51" s="66"/>
      <c r="B51" s="10"/>
      <c r="C51" s="4"/>
      <c r="D51" s="11"/>
      <c r="E51" s="69">
        <v>0</v>
      </c>
      <c r="F51" s="11"/>
      <c r="G51" s="30" t="s">
        <v>61</v>
      </c>
      <c r="H51" s="63">
        <f>H49*E51</f>
        <v>0</v>
      </c>
      <c r="I51" s="68"/>
    </row>
    <row r="52" spans="1:9" x14ac:dyDescent="0.2">
      <c r="A52" s="66"/>
      <c r="B52" s="10"/>
      <c r="C52" s="4"/>
      <c r="D52" s="11"/>
      <c r="E52" s="11"/>
      <c r="F52" s="11"/>
      <c r="G52" s="31"/>
      <c r="H52" s="12"/>
      <c r="I52" s="68"/>
    </row>
    <row r="53" spans="1:9" x14ac:dyDescent="0.2">
      <c r="A53" s="66"/>
      <c r="B53" s="10"/>
      <c r="C53" s="4"/>
      <c r="D53" s="11"/>
      <c r="E53" s="11"/>
      <c r="F53" s="11"/>
      <c r="G53" s="30" t="s">
        <v>58</v>
      </c>
      <c r="H53" s="63">
        <f>H49+H50+H51</f>
        <v>224824</v>
      </c>
      <c r="I53" s="68"/>
    </row>
    <row r="54" spans="1:9" x14ac:dyDescent="0.2">
      <c r="A54" s="66"/>
      <c r="B54" s="10"/>
      <c r="C54" s="4"/>
      <c r="D54" s="11"/>
      <c r="E54" s="11"/>
      <c r="F54" s="11"/>
      <c r="G54" s="30" t="s">
        <v>62</v>
      </c>
      <c r="H54" s="71">
        <f>H53/$H$8</f>
        <v>14988.266666666666</v>
      </c>
      <c r="I54" s="68"/>
    </row>
    <row r="55" spans="1:9" x14ac:dyDescent="0.2">
      <c r="A55" s="66"/>
      <c r="B55" s="10"/>
      <c r="C55" s="4"/>
      <c r="D55" s="11"/>
      <c r="E55" s="11"/>
      <c r="F55" s="11"/>
      <c r="G55" s="31"/>
      <c r="H55" s="12"/>
      <c r="I55" s="68"/>
    </row>
    <row r="56" spans="1:9" x14ac:dyDescent="0.2">
      <c r="A56" s="66"/>
      <c r="B56" s="10"/>
      <c r="C56" s="4"/>
      <c r="D56" s="11"/>
      <c r="E56" s="11"/>
      <c r="F56" s="11"/>
      <c r="G56" s="30" t="s">
        <v>63</v>
      </c>
      <c r="H56" s="63">
        <f>H33+H39+H54</f>
        <v>92466.276066666658</v>
      </c>
      <c r="I56" s="68"/>
    </row>
    <row r="57" spans="1:9" x14ac:dyDescent="0.2">
      <c r="A57" s="66"/>
      <c r="B57" s="10"/>
      <c r="C57" s="4"/>
      <c r="D57" s="11"/>
      <c r="E57" s="11"/>
      <c r="F57" s="11"/>
      <c r="G57" s="11"/>
      <c r="H57" s="63"/>
      <c r="I57" s="68"/>
    </row>
    <row r="58" spans="1:9" x14ac:dyDescent="0.2">
      <c r="A58" s="66"/>
      <c r="B58" s="10"/>
      <c r="C58" s="4"/>
      <c r="D58" s="69">
        <v>0</v>
      </c>
      <c r="E58" s="11"/>
      <c r="F58" s="11"/>
      <c r="G58" s="28" t="s">
        <v>64</v>
      </c>
      <c r="H58" s="63">
        <f>D58*H56</f>
        <v>0</v>
      </c>
      <c r="I58" s="68"/>
    </row>
    <row r="59" spans="1:9" x14ac:dyDescent="0.2">
      <c r="A59" s="66"/>
      <c r="B59" s="10"/>
      <c r="C59" s="4"/>
      <c r="D59" s="11"/>
      <c r="E59" s="11"/>
      <c r="F59" s="11"/>
      <c r="G59" s="28" t="s">
        <v>65</v>
      </c>
      <c r="H59" s="63">
        <f>H56+H58</f>
        <v>92466.276066666658</v>
      </c>
      <c r="I59" s="68"/>
    </row>
    <row r="60" spans="1:9" x14ac:dyDescent="0.2">
      <c r="A60" s="66"/>
      <c r="B60" s="10"/>
      <c r="C60" s="4"/>
      <c r="D60" s="69">
        <v>0</v>
      </c>
      <c r="E60" s="11"/>
      <c r="F60" s="11"/>
      <c r="G60" s="28" t="s">
        <v>66</v>
      </c>
      <c r="H60" s="63">
        <f>D60*H59</f>
        <v>0</v>
      </c>
      <c r="I60" s="68"/>
    </row>
    <row r="61" spans="1:9" x14ac:dyDescent="0.2">
      <c r="A61" s="66"/>
      <c r="B61" s="10"/>
      <c r="C61" s="4"/>
      <c r="D61" s="11"/>
      <c r="E61" s="11"/>
      <c r="F61" s="11"/>
      <c r="G61" s="11"/>
      <c r="H61" s="12"/>
      <c r="I61" s="68"/>
    </row>
    <row r="62" spans="1:9" x14ac:dyDescent="0.2">
      <c r="A62" s="66"/>
      <c r="B62" s="10"/>
      <c r="C62" s="4"/>
      <c r="D62" s="11"/>
      <c r="E62" s="11"/>
      <c r="F62" s="11"/>
      <c r="H62" s="12"/>
      <c r="I62" s="68"/>
    </row>
    <row r="63" spans="1:9" x14ac:dyDescent="0.2">
      <c r="A63" s="66"/>
      <c r="B63" s="10"/>
      <c r="C63" s="4"/>
      <c r="D63" s="11"/>
      <c r="E63" s="11"/>
      <c r="F63" s="40"/>
      <c r="G63" s="41" t="s">
        <v>67</v>
      </c>
      <c r="H63" s="72">
        <f>H59+H60</f>
        <v>92466.276066666658</v>
      </c>
      <c r="I63" s="68"/>
    </row>
    <row r="64" spans="1:9" x14ac:dyDescent="0.2">
      <c r="A64" s="66"/>
      <c r="B64" s="10"/>
      <c r="C64" s="4"/>
      <c r="D64" s="11"/>
      <c r="E64" s="11"/>
      <c r="F64" s="40"/>
      <c r="G64" s="41" t="s">
        <v>68</v>
      </c>
      <c r="H64" s="72">
        <f>(H33+H39+(H54*H10))</f>
        <v>88085.976737177014</v>
      </c>
      <c r="I64" s="68"/>
    </row>
    <row r="65" spans="1:9" x14ac:dyDescent="0.2">
      <c r="A65" s="75"/>
      <c r="B65" s="76"/>
      <c r="C65" s="73"/>
      <c r="D65" s="77"/>
      <c r="E65" s="77"/>
      <c r="F65" s="77"/>
      <c r="G65" s="77"/>
      <c r="H65" s="78"/>
      <c r="I65" s="74"/>
    </row>
  </sheetData>
  <mergeCells count="1">
    <mergeCell ref="A7:I7"/>
  </mergeCells>
  <pageMargins left="0.7" right="0.7" top="0.75" bottom="0.75" header="0.3" footer="0.3"/>
  <pageSetup scale="7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D1F6B0-291F-41CD-BF44-F958690FEBE5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64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283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25">
        <v>1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</row>
    <row r="14" spans="1:11" x14ac:dyDescent="0.2">
      <c r="A14" s="34"/>
      <c r="B14" s="7"/>
      <c r="C14" s="126" t="s">
        <v>284</v>
      </c>
      <c r="D14" s="127" t="s">
        <v>107</v>
      </c>
      <c r="E14" s="127">
        <v>14</v>
      </c>
      <c r="F14" s="127">
        <v>0</v>
      </c>
      <c r="G14" s="128">
        <v>100</v>
      </c>
      <c r="H14" s="128">
        <v>1400</v>
      </c>
      <c r="I14" s="36"/>
    </row>
    <row r="15" spans="1:11" x14ac:dyDescent="0.2">
      <c r="A15" s="34"/>
      <c r="B15" s="7"/>
      <c r="C15" s="133" t="s">
        <v>285</v>
      </c>
      <c r="D15" s="131" t="s">
        <v>107</v>
      </c>
      <c r="E15" s="131">
        <v>24</v>
      </c>
      <c r="F15" s="131">
        <v>0</v>
      </c>
      <c r="G15" s="132">
        <v>35</v>
      </c>
      <c r="H15" s="132">
        <v>840</v>
      </c>
      <c r="I15" s="36"/>
    </row>
    <row r="16" spans="1:11" x14ac:dyDescent="0.2">
      <c r="A16" s="34"/>
      <c r="B16" s="7"/>
      <c r="C16" s="129" t="s">
        <v>225</v>
      </c>
      <c r="D16" s="130" t="s">
        <v>107</v>
      </c>
      <c r="E16" s="131">
        <v>1</v>
      </c>
      <c r="F16" s="131">
        <v>0</v>
      </c>
      <c r="G16" s="132">
        <v>380000</v>
      </c>
      <c r="H16" s="132">
        <v>380000</v>
      </c>
      <c r="I16" s="36"/>
    </row>
    <row r="17" spans="1:9" x14ac:dyDescent="0.2">
      <c r="A17" s="34"/>
      <c r="B17" s="7"/>
      <c r="C17" s="129" t="s">
        <v>232</v>
      </c>
      <c r="D17" s="130" t="s">
        <v>143</v>
      </c>
      <c r="E17" s="131">
        <v>0.13</v>
      </c>
      <c r="F17" s="131">
        <v>0.05</v>
      </c>
      <c r="G17" s="132">
        <v>2500</v>
      </c>
      <c r="H17" s="132">
        <v>341</v>
      </c>
      <c r="I17" s="36"/>
    </row>
    <row r="18" spans="1:9" x14ac:dyDescent="0.2">
      <c r="A18" s="34"/>
      <c r="B18" s="7"/>
      <c r="C18" s="133" t="s">
        <v>233</v>
      </c>
      <c r="D18" s="130" t="s">
        <v>107</v>
      </c>
      <c r="E18" s="131">
        <v>1</v>
      </c>
      <c r="F18" s="131">
        <v>0</v>
      </c>
      <c r="G18" s="132">
        <v>3990</v>
      </c>
      <c r="H18" s="132">
        <v>3990</v>
      </c>
      <c r="I18" s="36"/>
    </row>
    <row r="19" spans="1:9" x14ac:dyDescent="0.2">
      <c r="A19" s="34"/>
      <c r="B19" s="7"/>
      <c r="C19" s="129" t="s">
        <v>286</v>
      </c>
      <c r="D19" s="130" t="s">
        <v>107</v>
      </c>
      <c r="E19" s="131">
        <v>4</v>
      </c>
      <c r="F19" s="131">
        <v>0</v>
      </c>
      <c r="G19" s="132">
        <v>1609</v>
      </c>
      <c r="H19" s="132">
        <v>6436</v>
      </c>
      <c r="I19" s="36"/>
    </row>
    <row r="20" spans="1:9" x14ac:dyDescent="0.2">
      <c r="A20" s="34"/>
      <c r="B20" s="7"/>
      <c r="C20" s="129" t="s">
        <v>287</v>
      </c>
      <c r="D20" s="130" t="s">
        <v>107</v>
      </c>
      <c r="E20" s="131">
        <v>8</v>
      </c>
      <c r="F20" s="131">
        <v>0.05</v>
      </c>
      <c r="G20" s="132">
        <v>233</v>
      </c>
      <c r="H20" s="132">
        <v>1957</v>
      </c>
      <c r="I20" s="36"/>
    </row>
    <row r="21" spans="1:9" x14ac:dyDescent="0.2">
      <c r="A21" s="34"/>
      <c r="B21" s="7"/>
      <c r="C21" s="129" t="s">
        <v>288</v>
      </c>
      <c r="D21" s="130" t="s">
        <v>107</v>
      </c>
      <c r="E21" s="131">
        <v>4</v>
      </c>
      <c r="F21" s="131">
        <v>0.05</v>
      </c>
      <c r="G21" s="132">
        <v>54</v>
      </c>
      <c r="H21" s="132">
        <v>227</v>
      </c>
      <c r="I21" s="36"/>
    </row>
    <row r="22" spans="1:9" x14ac:dyDescent="0.2">
      <c r="A22" s="34"/>
      <c r="B22" s="7"/>
      <c r="C22" s="129" t="s">
        <v>289</v>
      </c>
      <c r="D22" s="130" t="s">
        <v>107</v>
      </c>
      <c r="E22" s="130">
        <v>3</v>
      </c>
      <c r="F22" s="130">
        <v>0</v>
      </c>
      <c r="G22" s="176">
        <v>48500</v>
      </c>
      <c r="H22" s="176">
        <v>56400</v>
      </c>
      <c r="I22" s="36"/>
    </row>
    <row r="23" spans="1:9" x14ac:dyDescent="0.2">
      <c r="A23" s="34"/>
      <c r="B23" s="7"/>
      <c r="C23" s="134" t="s">
        <v>290</v>
      </c>
      <c r="D23" s="135" t="s">
        <v>107</v>
      </c>
      <c r="E23" s="135">
        <v>1</v>
      </c>
      <c r="F23" s="135">
        <v>0</v>
      </c>
      <c r="G23" s="136">
        <v>262654</v>
      </c>
      <c r="H23" s="136">
        <v>262654</v>
      </c>
      <c r="I23" s="36"/>
    </row>
    <row r="24" spans="1:9" x14ac:dyDescent="0.2">
      <c r="A24" s="34"/>
      <c r="B24" s="7"/>
      <c r="C24" s="129" t="s">
        <v>228</v>
      </c>
      <c r="D24" s="130" t="s">
        <v>107</v>
      </c>
      <c r="E24" s="130">
        <v>1</v>
      </c>
      <c r="F24" s="130">
        <v>0</v>
      </c>
      <c r="G24" s="176">
        <v>250000</v>
      </c>
      <c r="H24" s="176">
        <v>250000</v>
      </c>
      <c r="I24" s="36"/>
    </row>
    <row r="25" spans="1:9" x14ac:dyDescent="0.2">
      <c r="A25" s="34"/>
      <c r="B25" s="7"/>
      <c r="C25" s="129" t="s">
        <v>291</v>
      </c>
      <c r="D25" s="130" t="s">
        <v>107</v>
      </c>
      <c r="E25" s="131">
        <v>1</v>
      </c>
      <c r="F25" s="131">
        <v>0</v>
      </c>
      <c r="G25" s="132">
        <v>149800</v>
      </c>
      <c r="H25" s="132">
        <v>149800</v>
      </c>
      <c r="I25" s="36"/>
    </row>
    <row r="26" spans="1:9" x14ac:dyDescent="0.2">
      <c r="A26" s="34"/>
      <c r="B26" s="7"/>
      <c r="C26" s="129" t="s">
        <v>292</v>
      </c>
      <c r="D26" s="130" t="s">
        <v>143</v>
      </c>
      <c r="E26" s="131">
        <v>2.5</v>
      </c>
      <c r="F26" s="131">
        <v>0</v>
      </c>
      <c r="G26" s="132">
        <v>450</v>
      </c>
      <c r="H26" s="132">
        <v>1125</v>
      </c>
      <c r="I26" s="36"/>
    </row>
    <row r="27" spans="1:9" x14ac:dyDescent="0.2">
      <c r="A27" s="34"/>
      <c r="B27" s="7"/>
      <c r="C27" s="129" t="s">
        <v>293</v>
      </c>
      <c r="D27" s="130" t="s">
        <v>143</v>
      </c>
      <c r="E27" s="131">
        <v>2.5</v>
      </c>
      <c r="F27" s="131">
        <v>0</v>
      </c>
      <c r="G27" s="132">
        <v>450</v>
      </c>
      <c r="H27" s="132">
        <v>1125</v>
      </c>
      <c r="I27" s="36"/>
    </row>
    <row r="28" spans="1:9" x14ac:dyDescent="0.2">
      <c r="A28" s="34"/>
      <c r="B28" s="7"/>
      <c r="C28" s="129" t="s">
        <v>294</v>
      </c>
      <c r="D28" s="130" t="s">
        <v>143</v>
      </c>
      <c r="E28" s="131">
        <v>2.5</v>
      </c>
      <c r="F28" s="131">
        <v>0</v>
      </c>
      <c r="G28" s="132">
        <v>450</v>
      </c>
      <c r="H28" s="132">
        <v>1125</v>
      </c>
      <c r="I28" s="36"/>
    </row>
    <row r="29" spans="1:9" x14ac:dyDescent="0.2">
      <c r="A29" s="34"/>
      <c r="B29" s="7"/>
      <c r="C29" s="126" t="s">
        <v>295</v>
      </c>
      <c r="D29" s="127" t="s">
        <v>107</v>
      </c>
      <c r="E29" s="127">
        <v>22</v>
      </c>
      <c r="F29" s="127">
        <v>0</v>
      </c>
      <c r="G29" s="128">
        <v>420</v>
      </c>
      <c r="H29" s="128">
        <v>9240</v>
      </c>
      <c r="I29" s="36"/>
    </row>
    <row r="30" spans="1:9" x14ac:dyDescent="0.2">
      <c r="A30" s="34"/>
      <c r="B30" s="17"/>
      <c r="C30" s="129" t="s">
        <v>296</v>
      </c>
      <c r="D30" s="130" t="s">
        <v>143</v>
      </c>
      <c r="E30" s="131">
        <v>2.5</v>
      </c>
      <c r="F30" s="131">
        <v>0</v>
      </c>
      <c r="G30" s="132">
        <v>450</v>
      </c>
      <c r="H30" s="132">
        <v>1125</v>
      </c>
      <c r="I30" s="36"/>
    </row>
    <row r="31" spans="1:9" x14ac:dyDescent="0.2">
      <c r="A31" s="34"/>
      <c r="B31" s="13"/>
      <c r="C31" s="14"/>
      <c r="D31" s="26"/>
      <c r="E31" s="26"/>
      <c r="F31" s="26"/>
      <c r="G31" s="29" t="s">
        <v>42</v>
      </c>
      <c r="H31" s="16">
        <f>SUM(H14:H30)</f>
        <v>1127785</v>
      </c>
      <c r="I31" s="36"/>
    </row>
    <row r="32" spans="1:9" x14ac:dyDescent="0.2">
      <c r="A32" s="34"/>
      <c r="B32" s="13"/>
      <c r="C32" s="14"/>
      <c r="D32" s="26"/>
      <c r="E32" s="26"/>
      <c r="F32" s="26"/>
      <c r="G32" s="29" t="s">
        <v>43</v>
      </c>
      <c r="H32" s="16">
        <f>H31</f>
        <v>1127785</v>
      </c>
      <c r="I32" s="36"/>
    </row>
    <row r="33" spans="1:13" x14ac:dyDescent="0.2">
      <c r="A33" s="35"/>
      <c r="B33" s="5"/>
      <c r="C33" s="5"/>
      <c r="D33" s="5"/>
      <c r="E33" s="5"/>
      <c r="F33" s="5"/>
      <c r="G33" s="5"/>
      <c r="H33" s="5"/>
      <c r="I33" s="36"/>
    </row>
    <row r="34" spans="1:13" x14ac:dyDescent="0.2">
      <c r="A34" s="32" t="s">
        <v>44</v>
      </c>
      <c r="B34" s="4"/>
      <c r="C34" s="4"/>
      <c r="D34" s="4"/>
      <c r="E34" s="4"/>
      <c r="F34" s="4"/>
      <c r="G34" s="4"/>
      <c r="H34" s="4"/>
      <c r="I34" s="33"/>
    </row>
    <row r="35" spans="1:13" x14ac:dyDescent="0.2">
      <c r="A35" s="34"/>
      <c r="B35" s="7" t="s">
        <v>27</v>
      </c>
      <c r="C35" s="7" t="s">
        <v>28</v>
      </c>
      <c r="D35" s="7" t="s">
        <v>11</v>
      </c>
      <c r="E35" s="7" t="s">
        <v>29</v>
      </c>
      <c r="F35" s="7" t="s">
        <v>31</v>
      </c>
      <c r="G35" s="7" t="s">
        <v>45</v>
      </c>
      <c r="H35" s="7" t="s">
        <v>46</v>
      </c>
      <c r="I35" s="33"/>
      <c r="M35" s="8"/>
    </row>
    <row r="36" spans="1:13" x14ac:dyDescent="0.2">
      <c r="A36" s="34"/>
      <c r="B36" s="17"/>
      <c r="C36" s="53" t="s">
        <v>47</v>
      </c>
      <c r="D36" s="21" t="s">
        <v>48</v>
      </c>
      <c r="E36" s="21">
        <v>1</v>
      </c>
      <c r="F36" s="21">
        <f>H31*0.005</f>
        <v>5638.9250000000002</v>
      </c>
      <c r="G36" s="21">
        <v>1</v>
      </c>
      <c r="H36" s="22">
        <f>F36*E36*G36</f>
        <v>5638.9250000000002</v>
      </c>
      <c r="I36" s="33"/>
    </row>
    <row r="37" spans="1:13" x14ac:dyDescent="0.2">
      <c r="A37" s="34"/>
      <c r="B37" s="13"/>
      <c r="C37" s="14"/>
      <c r="D37" s="15"/>
      <c r="E37" s="15"/>
      <c r="F37" s="15"/>
      <c r="G37" s="30" t="s">
        <v>49</v>
      </c>
      <c r="H37" s="27">
        <f>SUM(H36)</f>
        <v>5638.9250000000002</v>
      </c>
      <c r="I37" s="33"/>
      <c r="K37" s="9"/>
    </row>
    <row r="38" spans="1:13" x14ac:dyDescent="0.2">
      <c r="A38" s="34"/>
      <c r="B38" s="13"/>
      <c r="C38" s="14"/>
      <c r="D38" s="15"/>
      <c r="E38" s="15"/>
      <c r="F38" s="15"/>
      <c r="G38" s="30" t="s">
        <v>50</v>
      </c>
      <c r="H38" s="27">
        <f>H37/$H$8</f>
        <v>5638.9250000000002</v>
      </c>
      <c r="I38" s="33"/>
      <c r="K38" s="9"/>
    </row>
    <row r="39" spans="1:13" x14ac:dyDescent="0.2">
      <c r="A39" s="32"/>
      <c r="B39" s="10"/>
      <c r="C39" s="4"/>
      <c r="D39" s="11"/>
      <c r="E39" s="11"/>
      <c r="F39" s="11"/>
      <c r="G39" s="11"/>
      <c r="H39" s="12"/>
      <c r="I39" s="33"/>
      <c r="K39" s="9"/>
    </row>
    <row r="40" spans="1:13" x14ac:dyDescent="0.2">
      <c r="A40" s="32" t="s">
        <v>51</v>
      </c>
      <c r="B40" s="10"/>
      <c r="C40" s="4"/>
      <c r="D40" s="11"/>
      <c r="E40" s="11"/>
      <c r="F40" s="11"/>
      <c r="G40" s="11"/>
      <c r="H40" s="12"/>
      <c r="I40" s="33"/>
      <c r="K40" s="9"/>
    </row>
    <row r="41" spans="1:13" x14ac:dyDescent="0.2">
      <c r="A41" s="32"/>
      <c r="B41" s="7" t="s">
        <v>27</v>
      </c>
      <c r="C41" s="7" t="s">
        <v>28</v>
      </c>
      <c r="D41" s="7" t="s">
        <v>11</v>
      </c>
      <c r="E41" s="7" t="s">
        <v>29</v>
      </c>
      <c r="F41" s="7" t="s">
        <v>52</v>
      </c>
      <c r="G41" s="7"/>
      <c r="H41" s="7" t="s">
        <v>46</v>
      </c>
      <c r="I41" s="33"/>
      <c r="K41" s="9"/>
    </row>
    <row r="42" spans="1:13" x14ac:dyDescent="0.2">
      <c r="A42" s="32"/>
      <c r="B42" s="17"/>
      <c r="C42" s="53" t="s">
        <v>117</v>
      </c>
      <c r="D42" s="21" t="s">
        <v>118</v>
      </c>
      <c r="E42" s="20">
        <f>E43/2</f>
        <v>0.5</v>
      </c>
      <c r="F42" s="18">
        <v>40000</v>
      </c>
      <c r="G42" s="21"/>
      <c r="H42" s="18">
        <f>E42*F42</f>
        <v>20000</v>
      </c>
      <c r="I42" s="33"/>
      <c r="K42" s="9"/>
    </row>
    <row r="43" spans="1:13" x14ac:dyDescent="0.2">
      <c r="A43" s="32"/>
      <c r="B43" s="17"/>
      <c r="C43" s="53" t="s">
        <v>53</v>
      </c>
      <c r="D43" s="21" t="s">
        <v>118</v>
      </c>
      <c r="E43" s="20">
        <v>1</v>
      </c>
      <c r="F43" s="18">
        <v>35000</v>
      </c>
      <c r="G43" s="62"/>
      <c r="H43" s="18">
        <f>E43*F43</f>
        <v>35000</v>
      </c>
      <c r="I43" s="33"/>
    </row>
    <row r="44" spans="1:13" x14ac:dyDescent="0.2">
      <c r="A44" s="32"/>
      <c r="B44" s="17"/>
      <c r="C44" s="53" t="s">
        <v>55</v>
      </c>
      <c r="D44" s="21" t="s">
        <v>118</v>
      </c>
      <c r="E44" s="20">
        <v>1</v>
      </c>
      <c r="F44" s="18">
        <v>30000</v>
      </c>
      <c r="G44" s="62"/>
      <c r="H44" s="18">
        <f>E44*F44</f>
        <v>30000</v>
      </c>
      <c r="I44" s="33"/>
    </row>
    <row r="45" spans="1:13" x14ac:dyDescent="0.2">
      <c r="A45" s="32"/>
      <c r="B45" s="17"/>
      <c r="C45" s="53" t="s">
        <v>57</v>
      </c>
      <c r="D45" s="21" t="s">
        <v>118</v>
      </c>
      <c r="E45" s="20">
        <v>1</v>
      </c>
      <c r="F45" s="18">
        <v>25000</v>
      </c>
      <c r="G45" s="62"/>
      <c r="H45" s="18">
        <f t="shared" ref="H45" si="0">E45*F45</f>
        <v>25000</v>
      </c>
      <c r="I45" s="33"/>
    </row>
    <row r="46" spans="1:13" x14ac:dyDescent="0.2">
      <c r="A46" s="32"/>
      <c r="B46" s="10"/>
      <c r="C46" s="4"/>
      <c r="D46" s="11"/>
      <c r="E46" s="11"/>
      <c r="F46" s="11"/>
      <c r="G46" s="30" t="s">
        <v>58</v>
      </c>
      <c r="H46" s="63">
        <f>SUM(H42:H45)</f>
        <v>110000</v>
      </c>
      <c r="I46" s="33"/>
    </row>
    <row r="47" spans="1:13" x14ac:dyDescent="0.2">
      <c r="A47" s="32"/>
      <c r="B47" s="10"/>
      <c r="C47" s="4"/>
      <c r="D47" s="11"/>
      <c r="E47" s="11"/>
      <c r="F47" s="11"/>
      <c r="G47" s="31"/>
      <c r="H47" s="12"/>
      <c r="I47" s="33"/>
    </row>
    <row r="48" spans="1:13" x14ac:dyDescent="0.2">
      <c r="A48" s="32"/>
      <c r="B48" s="10"/>
      <c r="C48" s="4"/>
      <c r="D48" s="11"/>
      <c r="E48" s="11"/>
      <c r="F48" s="11"/>
      <c r="G48" s="30" t="s">
        <v>59</v>
      </c>
      <c r="H48" s="63">
        <f>H46</f>
        <v>110000</v>
      </c>
      <c r="I48" s="33"/>
    </row>
    <row r="49" spans="1:9" x14ac:dyDescent="0.2">
      <c r="A49" s="32"/>
      <c r="B49" s="10"/>
      <c r="C49" s="4"/>
      <c r="D49" s="11"/>
      <c r="E49" s="69">
        <v>0.56999999999999995</v>
      </c>
      <c r="F49" s="11"/>
      <c r="G49" s="30" t="s">
        <v>60</v>
      </c>
      <c r="H49" s="70">
        <f>H48*E49</f>
        <v>62699.999999999993</v>
      </c>
      <c r="I49" s="33"/>
    </row>
    <row r="50" spans="1:9" x14ac:dyDescent="0.2">
      <c r="A50" s="32"/>
      <c r="B50" s="10"/>
      <c r="C50" s="4"/>
      <c r="D50" s="11"/>
      <c r="E50" s="69">
        <v>0</v>
      </c>
      <c r="F50" s="11"/>
      <c r="G50" s="30" t="s">
        <v>61</v>
      </c>
      <c r="H50" s="63">
        <f>H48*E50</f>
        <v>0</v>
      </c>
      <c r="I50" s="33"/>
    </row>
    <row r="51" spans="1:9" x14ac:dyDescent="0.2">
      <c r="A51" s="32"/>
      <c r="B51" s="10"/>
      <c r="C51" s="4"/>
      <c r="D51" s="11"/>
      <c r="E51" s="11"/>
      <c r="F51" s="11"/>
      <c r="G51" s="31"/>
      <c r="H51" s="12"/>
      <c r="I51" s="33"/>
    </row>
    <row r="52" spans="1:9" x14ac:dyDescent="0.2">
      <c r="A52" s="32"/>
      <c r="B52" s="10"/>
      <c r="C52" s="4"/>
      <c r="D52" s="11"/>
      <c r="E52" s="11"/>
      <c r="F52" s="11"/>
      <c r="G52" s="30" t="s">
        <v>58</v>
      </c>
      <c r="H52" s="63">
        <f>H48+H49+H50</f>
        <v>172700</v>
      </c>
      <c r="I52" s="33"/>
    </row>
    <row r="53" spans="1:9" x14ac:dyDescent="0.2">
      <c r="A53" s="32"/>
      <c r="B53" s="10"/>
      <c r="C53" s="4"/>
      <c r="D53" s="11"/>
      <c r="E53" s="11"/>
      <c r="F53" s="11"/>
      <c r="G53" s="30" t="s">
        <v>62</v>
      </c>
      <c r="H53" s="71">
        <f>H52/$H$8</f>
        <v>172700</v>
      </c>
      <c r="I53" s="33"/>
    </row>
    <row r="54" spans="1:9" x14ac:dyDescent="0.2">
      <c r="A54" s="32"/>
      <c r="B54" s="10"/>
      <c r="C54" s="4"/>
      <c r="D54" s="11"/>
      <c r="E54" s="11"/>
      <c r="F54" s="11"/>
      <c r="G54" s="31"/>
      <c r="H54" s="12"/>
      <c r="I54" s="33"/>
    </row>
    <row r="55" spans="1:9" x14ac:dyDescent="0.2">
      <c r="A55" s="32"/>
      <c r="B55" s="10"/>
      <c r="C55" s="4"/>
      <c r="D55" s="11"/>
      <c r="E55" s="11"/>
      <c r="F55" s="11"/>
      <c r="G55" s="30" t="s">
        <v>63</v>
      </c>
      <c r="H55" s="63">
        <f>H32+H38+H53</f>
        <v>1306123.925</v>
      </c>
      <c r="I55" s="33"/>
    </row>
    <row r="56" spans="1:9" x14ac:dyDescent="0.2">
      <c r="A56" s="32"/>
      <c r="B56" s="10"/>
      <c r="C56" s="4"/>
      <c r="D56" s="11"/>
      <c r="E56" s="11"/>
      <c r="F56" s="11"/>
      <c r="G56" s="11"/>
      <c r="H56" s="63"/>
      <c r="I56" s="33"/>
    </row>
    <row r="57" spans="1:9" x14ac:dyDescent="0.2">
      <c r="A57" s="32"/>
      <c r="B57" s="10"/>
      <c r="C57" s="4"/>
      <c r="D57" s="69">
        <v>0</v>
      </c>
      <c r="E57" s="11"/>
      <c r="F57" s="11"/>
      <c r="G57" s="28" t="s">
        <v>64</v>
      </c>
      <c r="H57" s="63">
        <f>D57*H55</f>
        <v>0</v>
      </c>
      <c r="I57" s="33"/>
    </row>
    <row r="58" spans="1:9" x14ac:dyDescent="0.2">
      <c r="A58" s="32"/>
      <c r="B58" s="10"/>
      <c r="C58" s="4"/>
      <c r="D58" s="11"/>
      <c r="E58" s="11"/>
      <c r="F58" s="11"/>
      <c r="G58" s="28" t="s">
        <v>65</v>
      </c>
      <c r="H58" s="63">
        <f>H55+H57</f>
        <v>1306123.925</v>
      </c>
      <c r="I58" s="33"/>
    </row>
    <row r="59" spans="1:9" x14ac:dyDescent="0.2">
      <c r="A59" s="32"/>
      <c r="B59" s="10"/>
      <c r="C59" s="4"/>
      <c r="D59" s="69">
        <v>0</v>
      </c>
      <c r="E59" s="11"/>
      <c r="F59" s="11"/>
      <c r="G59" s="28" t="s">
        <v>66</v>
      </c>
      <c r="H59" s="63">
        <f>D59*H58</f>
        <v>0</v>
      </c>
      <c r="I59" s="33"/>
    </row>
    <row r="60" spans="1:9" x14ac:dyDescent="0.2">
      <c r="A60" s="32"/>
      <c r="B60" s="10"/>
      <c r="C60" s="4"/>
      <c r="D60" s="11"/>
      <c r="E60" s="11"/>
      <c r="F60" s="11"/>
      <c r="G60" s="11"/>
      <c r="H60" s="12"/>
      <c r="I60" s="33"/>
    </row>
    <row r="61" spans="1:9" x14ac:dyDescent="0.2">
      <c r="A61" s="32"/>
      <c r="B61" s="10"/>
      <c r="C61" s="4"/>
      <c r="D61" s="11"/>
      <c r="E61" s="11"/>
      <c r="F61" s="11"/>
      <c r="H61" s="12"/>
      <c r="I61" s="33"/>
    </row>
    <row r="62" spans="1:9" x14ac:dyDescent="0.2">
      <c r="A62" s="32"/>
      <c r="B62" s="10"/>
      <c r="C62" s="4"/>
      <c r="D62" s="11"/>
      <c r="E62" s="11"/>
      <c r="F62" s="40"/>
      <c r="G62" s="41" t="s">
        <v>67</v>
      </c>
      <c r="H62" s="72">
        <f>H58+H59</f>
        <v>1306123.925</v>
      </c>
      <c r="I62" s="33"/>
    </row>
    <row r="63" spans="1:9" x14ac:dyDescent="0.2">
      <c r="A63" s="32"/>
      <c r="B63" s="10"/>
      <c r="C63" s="4"/>
      <c r="D63" s="11"/>
      <c r="E63" s="11"/>
      <c r="F63" s="40"/>
      <c r="G63" s="41" t="s">
        <v>68</v>
      </c>
      <c r="H63" s="72">
        <f>(H32+H38+(H53*H10))</f>
        <v>1255652.59892697</v>
      </c>
      <c r="I63" s="33"/>
    </row>
    <row r="64" spans="1:9" x14ac:dyDescent="0.2">
      <c r="A64" s="37"/>
      <c r="B64" s="38"/>
      <c r="C64" s="38"/>
      <c r="D64" s="38"/>
      <c r="E64" s="38"/>
      <c r="F64" s="38"/>
      <c r="G64" s="38"/>
      <c r="H64" s="38"/>
      <c r="I64" s="39"/>
    </row>
  </sheetData>
  <mergeCells count="1">
    <mergeCell ref="A7:I7"/>
  </mergeCells>
  <pageMargins left="0.7" right="0.7" top="0.75" bottom="0.75" header="0.3" footer="0.3"/>
  <pageSetup scale="7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22E605-8BBB-4EF3-AC9A-0E1E76CD2323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E694-EF34-42C1-897B-D92DFA8ECB21}">
  <dimension ref="B2:G20"/>
  <sheetViews>
    <sheetView workbookViewId="0">
      <selection activeCell="B2" sqref="B2"/>
    </sheetView>
  </sheetViews>
  <sheetFormatPr baseColWidth="10" defaultColWidth="11.42578125" defaultRowHeight="15" x14ac:dyDescent="0.25"/>
  <cols>
    <col min="1" max="1" width="3.28515625" customWidth="1"/>
    <col min="3" max="3" width="16.7109375" bestFit="1" customWidth="1"/>
  </cols>
  <sheetData>
    <row r="2" spans="2:7" x14ac:dyDescent="0.25">
      <c r="B2" s="151" t="s">
        <v>297</v>
      </c>
      <c r="C2" s="151" t="s">
        <v>5</v>
      </c>
      <c r="D2" s="151" t="s">
        <v>298</v>
      </c>
      <c r="E2" s="151" t="s">
        <v>7</v>
      </c>
      <c r="G2" s="152" t="s">
        <v>299</v>
      </c>
    </row>
    <row r="3" spans="2:7" x14ac:dyDescent="0.25">
      <c r="B3" s="153" t="s">
        <v>300</v>
      </c>
      <c r="C3" s="154" t="s">
        <v>301</v>
      </c>
      <c r="D3" s="155">
        <v>582.6</v>
      </c>
      <c r="E3" s="156">
        <f>D3/$D$9</f>
        <v>0.74644458680333126</v>
      </c>
    </row>
    <row r="4" spans="2:7" x14ac:dyDescent="0.25">
      <c r="B4" s="153" t="s">
        <v>302</v>
      </c>
      <c r="C4" s="154" t="s">
        <v>303</v>
      </c>
      <c r="D4" s="155">
        <v>672.1</v>
      </c>
      <c r="E4" s="156">
        <f t="shared" ref="E4:E17" si="0">D4/$D$9</f>
        <v>0.86111467008328002</v>
      </c>
    </row>
    <row r="5" spans="2:7" x14ac:dyDescent="0.25">
      <c r="B5" s="153" t="s">
        <v>304</v>
      </c>
      <c r="C5" s="154" t="s">
        <v>305</v>
      </c>
      <c r="D5" s="155">
        <v>765.3</v>
      </c>
      <c r="E5" s="156">
        <f t="shared" si="0"/>
        <v>0.98052530429212037</v>
      </c>
    </row>
    <row r="6" spans="2:7" x14ac:dyDescent="0.25">
      <c r="B6" s="153" t="s">
        <v>306</v>
      </c>
      <c r="C6" s="154" t="s">
        <v>307</v>
      </c>
      <c r="D6" s="155">
        <v>649.9</v>
      </c>
      <c r="E6" s="156">
        <f>D6/$D$9</f>
        <v>0.83267136450992951</v>
      </c>
    </row>
    <row r="7" spans="2:7" x14ac:dyDescent="0.25">
      <c r="B7" s="153" t="s">
        <v>308</v>
      </c>
      <c r="C7" s="154" t="s">
        <v>309</v>
      </c>
      <c r="D7" s="155">
        <v>603.1</v>
      </c>
      <c r="E7" s="156">
        <f t="shared" si="0"/>
        <v>0.77270980140935297</v>
      </c>
    </row>
    <row r="8" spans="2:7" x14ac:dyDescent="0.25">
      <c r="B8" s="153" t="s">
        <v>310</v>
      </c>
      <c r="C8" s="154" t="s">
        <v>311</v>
      </c>
      <c r="D8" s="155">
        <v>601.4</v>
      </c>
      <c r="E8" s="156">
        <f t="shared" si="0"/>
        <v>0.77053171044202429</v>
      </c>
    </row>
    <row r="9" spans="2:7" x14ac:dyDescent="0.25">
      <c r="B9" s="157" t="s">
        <v>312</v>
      </c>
      <c r="C9" s="158" t="s">
        <v>313</v>
      </c>
      <c r="D9" s="159">
        <v>780.5</v>
      </c>
      <c r="E9" s="160">
        <f t="shared" si="0"/>
        <v>1</v>
      </c>
    </row>
    <row r="10" spans="2:7" x14ac:dyDescent="0.25">
      <c r="B10" s="161" t="s">
        <v>314</v>
      </c>
      <c r="C10" s="162" t="s">
        <v>315</v>
      </c>
      <c r="D10" s="163">
        <v>567.70000000000005</v>
      </c>
      <c r="E10" s="164">
        <f t="shared" si="0"/>
        <v>0.72735426008968618</v>
      </c>
    </row>
    <row r="11" spans="2:7" x14ac:dyDescent="0.25">
      <c r="B11" s="161" t="s">
        <v>316</v>
      </c>
      <c r="C11" s="162" t="s">
        <v>194</v>
      </c>
      <c r="D11" s="163">
        <v>534.29999999999995</v>
      </c>
      <c r="E11" s="164">
        <f>D11/$D$9</f>
        <v>0.68456117873158229</v>
      </c>
    </row>
    <row r="12" spans="2:7" x14ac:dyDescent="0.25">
      <c r="B12" s="161" t="s">
        <v>317</v>
      </c>
      <c r="C12" s="162" t="s">
        <v>318</v>
      </c>
      <c r="D12" s="163">
        <v>543.79999999999995</v>
      </c>
      <c r="E12" s="164">
        <f>D12/$D$9</f>
        <v>0.69673286354900699</v>
      </c>
    </row>
    <row r="13" spans="2:7" x14ac:dyDescent="0.25">
      <c r="B13" s="161" t="s">
        <v>319</v>
      </c>
      <c r="C13" s="162" t="s">
        <v>320</v>
      </c>
      <c r="D13" s="163">
        <v>574.9</v>
      </c>
      <c r="E13" s="164">
        <f>D13/$D$9</f>
        <v>0.7365791159513132</v>
      </c>
    </row>
    <row r="14" spans="2:7" x14ac:dyDescent="0.25">
      <c r="B14" s="165" t="s">
        <v>321</v>
      </c>
      <c r="C14" s="166" t="s">
        <v>322</v>
      </c>
      <c r="D14" s="167">
        <v>533.9</v>
      </c>
      <c r="E14" s="168">
        <f t="shared" si="0"/>
        <v>0.68404868673926966</v>
      </c>
    </row>
    <row r="15" spans="2:7" x14ac:dyDescent="0.25">
      <c r="B15" s="165" t="s">
        <v>323</v>
      </c>
      <c r="C15" s="166" t="s">
        <v>324</v>
      </c>
      <c r="D15" s="167">
        <v>576.4</v>
      </c>
      <c r="E15" s="168">
        <f t="shared" si="0"/>
        <v>0.73850096092248552</v>
      </c>
    </row>
    <row r="16" spans="2:7" x14ac:dyDescent="0.25">
      <c r="B16" s="165" t="s">
        <v>325</v>
      </c>
      <c r="C16" s="166" t="s">
        <v>6</v>
      </c>
      <c r="D16" s="167">
        <v>552.4</v>
      </c>
      <c r="E16" s="168">
        <f t="shared" si="0"/>
        <v>0.70775144138372836</v>
      </c>
    </row>
    <row r="17" spans="2:5" x14ac:dyDescent="0.25">
      <c r="B17" s="157" t="s">
        <v>326</v>
      </c>
      <c r="C17" s="158" t="s">
        <v>327</v>
      </c>
      <c r="D17" s="169">
        <v>749</v>
      </c>
      <c r="E17" s="160">
        <f t="shared" si="0"/>
        <v>0.95964125560538116</v>
      </c>
    </row>
    <row r="18" spans="2:5" x14ac:dyDescent="0.25">
      <c r="B18" s="157" t="s">
        <v>328</v>
      </c>
      <c r="C18" s="158" t="s">
        <v>329</v>
      </c>
      <c r="D18" s="159">
        <v>844.3</v>
      </c>
      <c r="E18" s="160">
        <f>D18/$D$9</f>
        <v>1.0817424727738629</v>
      </c>
    </row>
    <row r="20" spans="2:5" x14ac:dyDescent="0.25">
      <c r="E20" s="170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7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92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93</v>
      </c>
      <c r="G8" s="23" t="s">
        <v>24</v>
      </c>
      <c r="H8" s="25">
        <v>28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5"/>
      <c r="B11" s="4"/>
      <c r="C11" s="4"/>
      <c r="D11" s="5"/>
      <c r="E11" s="23"/>
      <c r="F11" s="150"/>
      <c r="G11" s="23"/>
      <c r="H11" s="150"/>
      <c r="I11" s="5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</row>
    <row r="14" spans="1:11" s="4" customFormat="1" x14ac:dyDescent="0.2">
      <c r="A14" s="34"/>
      <c r="B14" s="56"/>
      <c r="C14" s="103" t="s">
        <v>94</v>
      </c>
      <c r="D14" s="102" t="s">
        <v>93</v>
      </c>
      <c r="E14" s="102">
        <v>1</v>
      </c>
      <c r="F14" s="102">
        <v>0.05</v>
      </c>
      <c r="G14" s="105">
        <v>90000</v>
      </c>
      <c r="H14" s="106">
        <f>E14*(1+F14)*G14</f>
        <v>94500</v>
      </c>
      <c r="I14" s="36"/>
    </row>
    <row r="15" spans="1:11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94500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</f>
        <v>94500</v>
      </c>
      <c r="I16" s="36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  <c r="M18" s="8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7" t="s">
        <v>95</v>
      </c>
      <c r="D20" s="21" t="s">
        <v>36</v>
      </c>
      <c r="E20" s="21">
        <v>1</v>
      </c>
      <c r="F20" s="21">
        <v>10000</v>
      </c>
      <c r="G20" s="21">
        <v>1</v>
      </c>
      <c r="H20" s="22">
        <f>E20*F20*G20</f>
        <v>10000</v>
      </c>
      <c r="I20" s="33"/>
      <c r="K20" s="9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10000</v>
      </c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357.14285714285717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17"/>
      <c r="C26" s="57" t="s">
        <v>89</v>
      </c>
      <c r="D26" s="79" t="s">
        <v>54</v>
      </c>
      <c r="E26" s="80">
        <v>0.5</v>
      </c>
      <c r="F26" s="81">
        <v>40000</v>
      </c>
      <c r="G26" s="79"/>
      <c r="H26" s="82">
        <f>E26*F26</f>
        <v>20000</v>
      </c>
      <c r="I26" s="33"/>
    </row>
    <row r="27" spans="1:13" x14ac:dyDescent="0.2">
      <c r="A27" s="32"/>
      <c r="B27" s="17"/>
      <c r="C27" s="57" t="s">
        <v>96</v>
      </c>
      <c r="D27" s="79" t="s">
        <v>54</v>
      </c>
      <c r="E27" s="20">
        <v>1</v>
      </c>
      <c r="F27" s="81">
        <v>35000</v>
      </c>
      <c r="G27" s="79"/>
      <c r="H27" s="82">
        <f t="shared" ref="H27:H28" si="0">E27*F27</f>
        <v>35000</v>
      </c>
      <c r="I27" s="33"/>
    </row>
    <row r="28" spans="1:13" x14ac:dyDescent="0.2">
      <c r="A28" s="66"/>
      <c r="B28" s="17"/>
      <c r="C28" s="53" t="s">
        <v>57</v>
      </c>
      <c r="D28" s="21" t="s">
        <v>54</v>
      </c>
      <c r="E28" s="20">
        <v>1</v>
      </c>
      <c r="F28" s="18">
        <v>25000</v>
      </c>
      <c r="G28" s="62"/>
      <c r="H28" s="18">
        <f t="shared" si="0"/>
        <v>25000</v>
      </c>
      <c r="I28" s="68"/>
    </row>
    <row r="29" spans="1:13" x14ac:dyDescent="0.2">
      <c r="A29" s="66"/>
      <c r="B29" s="10"/>
      <c r="C29" s="4"/>
      <c r="D29" s="11"/>
      <c r="E29" s="11"/>
      <c r="F29" s="11"/>
      <c r="G29" s="30" t="s">
        <v>58</v>
      </c>
      <c r="H29" s="63">
        <f>SUM(H26:H28)</f>
        <v>80000</v>
      </c>
      <c r="I29" s="68"/>
    </row>
    <row r="30" spans="1:13" x14ac:dyDescent="0.2">
      <c r="A30" s="66"/>
      <c r="B30" s="10"/>
      <c r="C30" s="4"/>
      <c r="D30" s="11"/>
      <c r="E30" s="11"/>
      <c r="F30" s="11"/>
      <c r="G30" s="31"/>
      <c r="H30" s="12"/>
      <c r="I30" s="68"/>
    </row>
    <row r="31" spans="1:13" x14ac:dyDescent="0.2">
      <c r="A31" s="66"/>
      <c r="B31" s="10"/>
      <c r="C31" s="4"/>
      <c r="D31" s="11"/>
      <c r="E31" s="11"/>
      <c r="F31" s="11"/>
      <c r="G31" s="30" t="s">
        <v>59</v>
      </c>
      <c r="H31" s="63">
        <f>H29</f>
        <v>80000</v>
      </c>
      <c r="I31" s="68"/>
    </row>
    <row r="32" spans="1:13" x14ac:dyDescent="0.2">
      <c r="A32" s="66"/>
      <c r="B32" s="10"/>
      <c r="C32" s="4"/>
      <c r="D32" s="11"/>
      <c r="E32" s="69">
        <v>0.56999999999999995</v>
      </c>
      <c r="F32" s="11"/>
      <c r="G32" s="30" t="s">
        <v>60</v>
      </c>
      <c r="H32" s="70">
        <f>H31*E32</f>
        <v>45599.999999999993</v>
      </c>
      <c r="I32" s="68"/>
    </row>
    <row r="33" spans="1:9" x14ac:dyDescent="0.2">
      <c r="A33" s="66"/>
      <c r="B33" s="10"/>
      <c r="C33" s="4"/>
      <c r="D33" s="11"/>
      <c r="E33" s="69">
        <v>0</v>
      </c>
      <c r="F33" s="11"/>
      <c r="G33" s="30" t="s">
        <v>61</v>
      </c>
      <c r="H33" s="63">
        <f>H31*E33</f>
        <v>0</v>
      </c>
      <c r="I33" s="68"/>
    </row>
    <row r="34" spans="1:9" x14ac:dyDescent="0.2">
      <c r="A34" s="66"/>
      <c r="B34" s="10"/>
      <c r="C34" s="4"/>
      <c r="D34" s="11"/>
      <c r="E34" s="11"/>
      <c r="F34" s="11"/>
      <c r="G34" s="31"/>
      <c r="H34" s="12"/>
      <c r="I34" s="68"/>
    </row>
    <row r="35" spans="1:9" x14ac:dyDescent="0.2">
      <c r="A35" s="66"/>
      <c r="B35" s="10"/>
      <c r="C35" s="4"/>
      <c r="D35" s="11"/>
      <c r="E35" s="11"/>
      <c r="F35" s="11"/>
      <c r="G35" s="30" t="s">
        <v>58</v>
      </c>
      <c r="H35" s="63">
        <f>H31+H32+H33</f>
        <v>125600</v>
      </c>
      <c r="I35" s="68"/>
    </row>
    <row r="36" spans="1:9" x14ac:dyDescent="0.2">
      <c r="A36" s="66"/>
      <c r="B36" s="10"/>
      <c r="C36" s="4"/>
      <c r="D36" s="11"/>
      <c r="E36" s="11"/>
      <c r="F36" s="11"/>
      <c r="G36" s="30" t="s">
        <v>62</v>
      </c>
      <c r="H36" s="71">
        <f>H35/$H$8</f>
        <v>4485.7142857142853</v>
      </c>
      <c r="I36" s="68"/>
    </row>
    <row r="37" spans="1:9" x14ac:dyDescent="0.2">
      <c r="A37" s="66"/>
      <c r="B37" s="10"/>
      <c r="C37" s="4"/>
      <c r="D37" s="11"/>
      <c r="E37" s="11"/>
      <c r="F37" s="11"/>
      <c r="G37" s="31"/>
      <c r="H37" s="12"/>
      <c r="I37" s="68"/>
    </row>
    <row r="38" spans="1:9" x14ac:dyDescent="0.2">
      <c r="A38" s="66"/>
      <c r="B38" s="10"/>
      <c r="C38" s="4"/>
      <c r="D38" s="11"/>
      <c r="E38" s="11"/>
      <c r="F38" s="11"/>
      <c r="G38" s="30" t="s">
        <v>63</v>
      </c>
      <c r="H38" s="63">
        <f>H16+H22+H36</f>
        <v>99342.857142857145</v>
      </c>
      <c r="I38" s="68"/>
    </row>
    <row r="39" spans="1:9" x14ac:dyDescent="0.2">
      <c r="A39" s="66"/>
      <c r="B39" s="10"/>
      <c r="C39" s="4"/>
      <c r="D39" s="11"/>
      <c r="E39" s="11"/>
      <c r="F39" s="11"/>
      <c r="G39" s="11"/>
      <c r="H39" s="63"/>
      <c r="I39" s="68"/>
    </row>
    <row r="40" spans="1:9" x14ac:dyDescent="0.2">
      <c r="A40" s="66"/>
      <c r="B40" s="10"/>
      <c r="C40" s="4"/>
      <c r="D40" s="69">
        <v>0</v>
      </c>
      <c r="E40" s="11"/>
      <c r="F40" s="11"/>
      <c r="G40" s="28" t="s">
        <v>64</v>
      </c>
      <c r="H40" s="63">
        <f>D40*H38</f>
        <v>0</v>
      </c>
      <c r="I40" s="68"/>
    </row>
    <row r="41" spans="1:9" x14ac:dyDescent="0.2">
      <c r="A41" s="66"/>
      <c r="B41" s="10"/>
      <c r="C41" s="4"/>
      <c r="D41" s="11"/>
      <c r="E41" s="11"/>
      <c r="F41" s="11"/>
      <c r="G41" s="28" t="s">
        <v>65</v>
      </c>
      <c r="H41" s="63">
        <f>H38+H40</f>
        <v>99342.857142857145</v>
      </c>
      <c r="I41" s="68"/>
    </row>
    <row r="42" spans="1:9" x14ac:dyDescent="0.2">
      <c r="A42" s="66"/>
      <c r="B42" s="10"/>
      <c r="C42" s="4"/>
      <c r="D42" s="69">
        <v>0</v>
      </c>
      <c r="E42" s="11"/>
      <c r="F42" s="11"/>
      <c r="G42" s="28" t="s">
        <v>66</v>
      </c>
      <c r="H42" s="63">
        <f>D42*H41</f>
        <v>0</v>
      </c>
      <c r="I42" s="68"/>
    </row>
    <row r="43" spans="1:9" x14ac:dyDescent="0.2">
      <c r="A43" s="66"/>
      <c r="B43" s="10"/>
      <c r="C43" s="4"/>
      <c r="D43" s="11"/>
      <c r="E43" s="11"/>
      <c r="F43" s="11"/>
      <c r="G43" s="11"/>
      <c r="H43" s="12"/>
      <c r="I43" s="68"/>
    </row>
    <row r="44" spans="1:9" x14ac:dyDescent="0.2">
      <c r="A44" s="66"/>
      <c r="B44" s="10"/>
      <c r="C44" s="4"/>
      <c r="D44" s="11"/>
      <c r="E44" s="11"/>
      <c r="F44" s="11"/>
      <c r="H44" s="12"/>
      <c r="I44" s="68"/>
    </row>
    <row r="45" spans="1:9" x14ac:dyDescent="0.2">
      <c r="A45" s="66"/>
      <c r="B45" s="10"/>
      <c r="C45" s="4"/>
      <c r="D45" s="11"/>
      <c r="E45" s="11"/>
      <c r="F45" s="40"/>
      <c r="G45" s="41" t="s">
        <v>67</v>
      </c>
      <c r="H45" s="72">
        <f>H41+H42</f>
        <v>99342.857142857145</v>
      </c>
      <c r="I45" s="68"/>
    </row>
    <row r="46" spans="1:9" x14ac:dyDescent="0.2">
      <c r="A46" s="66"/>
      <c r="B46" s="10"/>
      <c r="C46" s="4"/>
      <c r="D46" s="11"/>
      <c r="E46" s="11"/>
      <c r="F46" s="40"/>
      <c r="G46" s="41" t="s">
        <v>68</v>
      </c>
      <c r="H46" s="72">
        <f>(H16+H22+(H36*H10))</f>
        <v>98031.913608492716</v>
      </c>
      <c r="I46" s="68"/>
    </row>
    <row r="47" spans="1:9" x14ac:dyDescent="0.2">
      <c r="A47" s="75"/>
      <c r="B47" s="76"/>
      <c r="C47" s="73"/>
      <c r="D47" s="77"/>
      <c r="E47" s="77"/>
      <c r="F47" s="77"/>
      <c r="G47" s="77"/>
      <c r="H47" s="78"/>
      <c r="I47" s="74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63A685F-AF32-454D-B0A7-AB5741873B63}">
          <x14:formula1>
            <xm:f>'Factor Socioeconómico'!$C$3:$C$17</xm:f>
          </x14:formula1>
          <xm:sqref>F10:F11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6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97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16</v>
      </c>
      <c r="G8" s="23" t="s">
        <v>24</v>
      </c>
      <c r="H8" s="85">
        <v>18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ht="12" x14ac:dyDescent="0.2">
      <c r="A11" s="35"/>
      <c r="B11" s="84" t="s">
        <v>98</v>
      </c>
      <c r="C11" s="4"/>
      <c r="D11" s="5"/>
      <c r="E11" s="23"/>
      <c r="F11" s="24"/>
      <c r="G11" s="23"/>
      <c r="H11" s="25"/>
      <c r="I11" s="36"/>
    </row>
    <row r="12" spans="1:11" x14ac:dyDescent="0.2">
      <c r="A12" s="35"/>
      <c r="B12" s="5"/>
      <c r="C12" s="5"/>
      <c r="D12" s="5"/>
      <c r="E12" s="5"/>
      <c r="F12" s="5"/>
      <c r="G12" s="5"/>
      <c r="H12" s="5"/>
      <c r="I12" s="36"/>
    </row>
    <row r="13" spans="1:11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1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</row>
    <row r="15" spans="1:11" s="4" customFormat="1" x14ac:dyDescent="0.2">
      <c r="A15" s="34"/>
      <c r="B15" s="7"/>
      <c r="C15" s="111" t="s">
        <v>99</v>
      </c>
      <c r="D15" s="102" t="s">
        <v>36</v>
      </c>
      <c r="E15" s="102">
        <v>1</v>
      </c>
      <c r="F15" s="102">
        <v>0</v>
      </c>
      <c r="G15" s="105">
        <f>40*$F$9</f>
        <v>35792.800000000003</v>
      </c>
      <c r="H15" s="106">
        <f>E15*(1+F15)*G15</f>
        <v>35792.800000000003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42</v>
      </c>
      <c r="H16" s="16">
        <f>H15</f>
        <v>35792.800000000003</v>
      </c>
      <c r="I16" s="36"/>
    </row>
    <row r="17" spans="1:13" x14ac:dyDescent="0.2">
      <c r="A17" s="34"/>
      <c r="B17" s="13"/>
      <c r="C17" s="14"/>
      <c r="D17" s="26"/>
      <c r="E17" s="26"/>
      <c r="F17" s="26"/>
      <c r="G17" s="29" t="s">
        <v>43</v>
      </c>
      <c r="H17" s="16">
        <f>H16</f>
        <v>35792.800000000003</v>
      </c>
      <c r="I17" s="36"/>
    </row>
    <row r="18" spans="1:13" x14ac:dyDescent="0.2">
      <c r="A18" s="35"/>
      <c r="B18" s="5"/>
      <c r="C18" s="5"/>
      <c r="D18" s="5"/>
      <c r="E18" s="5"/>
      <c r="F18" s="5"/>
      <c r="G18" s="5"/>
      <c r="H18" s="5"/>
      <c r="I18" s="36"/>
    </row>
    <row r="19" spans="1:13" x14ac:dyDescent="0.2">
      <c r="A19" s="32" t="s">
        <v>44</v>
      </c>
      <c r="B19" s="4"/>
      <c r="C19" s="4"/>
      <c r="D19" s="4"/>
      <c r="E19" s="4"/>
      <c r="F19" s="4"/>
      <c r="G19" s="4"/>
      <c r="H19" s="4"/>
      <c r="I19" s="33"/>
      <c r="M19" s="8"/>
    </row>
    <row r="20" spans="1:13" x14ac:dyDescent="0.2">
      <c r="A20" s="34"/>
      <c r="B20" s="7" t="s">
        <v>27</v>
      </c>
      <c r="C20" s="7" t="s">
        <v>28</v>
      </c>
      <c r="D20" s="7" t="s">
        <v>11</v>
      </c>
      <c r="E20" s="7" t="s">
        <v>29</v>
      </c>
      <c r="F20" s="7" t="s">
        <v>31</v>
      </c>
      <c r="G20" s="7" t="s">
        <v>45</v>
      </c>
      <c r="H20" s="7" t="s">
        <v>46</v>
      </c>
      <c r="I20" s="33"/>
    </row>
    <row r="21" spans="1:13" x14ac:dyDescent="0.2">
      <c r="A21" s="34"/>
      <c r="B21" s="17"/>
      <c r="C21" s="19"/>
      <c r="D21" s="21"/>
      <c r="E21" s="21"/>
      <c r="F21" s="21"/>
      <c r="G21" s="21"/>
      <c r="H21" s="22"/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49</v>
      </c>
      <c r="H22" s="27">
        <f>SUM(H21)</f>
        <v>0</v>
      </c>
      <c r="I22" s="33"/>
      <c r="K22" s="9"/>
    </row>
    <row r="23" spans="1:13" x14ac:dyDescent="0.2">
      <c r="A23" s="34"/>
      <c r="B23" s="13"/>
      <c r="C23" s="14"/>
      <c r="D23" s="15"/>
      <c r="E23" s="15"/>
      <c r="F23" s="15"/>
      <c r="G23" s="30" t="s">
        <v>50</v>
      </c>
      <c r="H23" s="27">
        <v>0</v>
      </c>
      <c r="I23" s="33"/>
      <c r="K23" s="9"/>
    </row>
    <row r="24" spans="1:13" x14ac:dyDescent="0.2">
      <c r="A24" s="32"/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 t="s">
        <v>51</v>
      </c>
      <c r="B25" s="10"/>
      <c r="C25" s="4"/>
      <c r="D25" s="11"/>
      <c r="E25" s="11"/>
      <c r="F25" s="11"/>
      <c r="G25" s="11"/>
      <c r="H25" s="12"/>
      <c r="I25" s="33"/>
    </row>
    <row r="26" spans="1:13" x14ac:dyDescent="0.2">
      <c r="A26" s="32"/>
      <c r="B26" s="7" t="s">
        <v>27</v>
      </c>
      <c r="C26" s="7" t="s">
        <v>28</v>
      </c>
      <c r="D26" s="7" t="s">
        <v>11</v>
      </c>
      <c r="E26" s="7" t="s">
        <v>29</v>
      </c>
      <c r="F26" s="7" t="s">
        <v>52</v>
      </c>
      <c r="G26" s="7"/>
      <c r="H26" s="7" t="s">
        <v>46</v>
      </c>
      <c r="I26" s="33"/>
    </row>
    <row r="27" spans="1:13" x14ac:dyDescent="0.2">
      <c r="A27" s="32"/>
      <c r="B27" s="17"/>
      <c r="C27" s="83" t="s">
        <v>100</v>
      </c>
      <c r="D27" s="21" t="s">
        <v>54</v>
      </c>
      <c r="E27" s="20">
        <v>1</v>
      </c>
      <c r="F27" s="60">
        <f>H8*46330</f>
        <v>833940</v>
      </c>
      <c r="G27" s="21"/>
      <c r="H27" s="18">
        <f>E27*F27</f>
        <v>833940</v>
      </c>
      <c r="I27" s="33"/>
    </row>
    <row r="28" spans="1:13" x14ac:dyDescent="0.2">
      <c r="A28" s="66"/>
      <c r="B28" s="10"/>
      <c r="C28" s="4"/>
      <c r="D28" s="11"/>
      <c r="E28" s="11"/>
      <c r="F28" s="11"/>
      <c r="G28" s="30" t="s">
        <v>58</v>
      </c>
      <c r="H28" s="63">
        <f>SUM(H25:H27)</f>
        <v>833940</v>
      </c>
      <c r="I28" s="68"/>
    </row>
    <row r="29" spans="1:13" x14ac:dyDescent="0.2">
      <c r="A29" s="66"/>
      <c r="B29" s="10"/>
      <c r="C29" s="4"/>
      <c r="D29" s="11"/>
      <c r="E29" s="11"/>
      <c r="F29" s="11"/>
      <c r="G29" s="31"/>
      <c r="H29" s="12"/>
      <c r="I29" s="68"/>
    </row>
    <row r="30" spans="1:13" x14ac:dyDescent="0.2">
      <c r="A30" s="66"/>
      <c r="B30" s="10"/>
      <c r="C30" s="4"/>
      <c r="D30" s="11"/>
      <c r="E30" s="11"/>
      <c r="F30" s="11"/>
      <c r="G30" s="30" t="s">
        <v>59</v>
      </c>
      <c r="H30" s="63">
        <f>H28</f>
        <v>833940</v>
      </c>
      <c r="I30" s="68"/>
    </row>
    <row r="31" spans="1:13" x14ac:dyDescent="0.2">
      <c r="A31" s="66"/>
      <c r="B31" s="10"/>
      <c r="C31" s="4"/>
      <c r="D31" s="11"/>
      <c r="E31" s="69">
        <v>0</v>
      </c>
      <c r="F31" s="11"/>
      <c r="G31" s="30" t="s">
        <v>60</v>
      </c>
      <c r="H31" s="70">
        <f>H30*E31</f>
        <v>0</v>
      </c>
      <c r="I31" s="68"/>
    </row>
    <row r="32" spans="1:13" x14ac:dyDescent="0.2">
      <c r="A32" s="66"/>
      <c r="B32" s="10"/>
      <c r="C32" s="4"/>
      <c r="D32" s="11"/>
      <c r="E32" s="69">
        <v>0</v>
      </c>
      <c r="F32" s="11"/>
      <c r="G32" s="30" t="s">
        <v>61</v>
      </c>
      <c r="H32" s="63">
        <f>H30*E32</f>
        <v>0</v>
      </c>
      <c r="I32" s="68"/>
    </row>
    <row r="33" spans="1:9" x14ac:dyDescent="0.2">
      <c r="A33" s="66"/>
      <c r="B33" s="10"/>
      <c r="C33" s="4"/>
      <c r="D33" s="11"/>
      <c r="E33" s="11"/>
      <c r="F33" s="11"/>
      <c r="G33" s="31"/>
      <c r="H33" s="12"/>
      <c r="I33" s="68"/>
    </row>
    <row r="34" spans="1:9" x14ac:dyDescent="0.2">
      <c r="A34" s="66"/>
      <c r="B34" s="10"/>
      <c r="C34" s="4"/>
      <c r="D34" s="11"/>
      <c r="E34" s="11"/>
      <c r="F34" s="11"/>
      <c r="G34" s="30" t="s">
        <v>58</v>
      </c>
      <c r="H34" s="63">
        <f>H30+H31+H32</f>
        <v>833940</v>
      </c>
      <c r="I34" s="68"/>
    </row>
    <row r="35" spans="1:9" x14ac:dyDescent="0.2">
      <c r="A35" s="66"/>
      <c r="B35" s="10"/>
      <c r="C35" s="4"/>
      <c r="D35" s="11"/>
      <c r="E35" s="11"/>
      <c r="F35" s="11"/>
      <c r="G35" s="30" t="s">
        <v>62</v>
      </c>
      <c r="H35" s="71">
        <f>H34/$H$8</f>
        <v>46330</v>
      </c>
      <c r="I35" s="68"/>
    </row>
    <row r="36" spans="1:9" x14ac:dyDescent="0.2">
      <c r="A36" s="66"/>
      <c r="B36" s="10"/>
      <c r="C36" s="4"/>
      <c r="D36" s="11"/>
      <c r="E36" s="11"/>
      <c r="F36" s="11"/>
      <c r="G36" s="31"/>
      <c r="H36" s="12"/>
      <c r="I36" s="68"/>
    </row>
    <row r="37" spans="1:9" x14ac:dyDescent="0.2">
      <c r="A37" s="66"/>
      <c r="B37" s="10"/>
      <c r="C37" s="4"/>
      <c r="D37" s="11"/>
      <c r="E37" s="11"/>
      <c r="F37" s="11"/>
      <c r="G37" s="30" t="s">
        <v>63</v>
      </c>
      <c r="H37" s="63">
        <f>H17+H23+H35</f>
        <v>82122.8</v>
      </c>
      <c r="I37" s="68"/>
    </row>
    <row r="38" spans="1:9" x14ac:dyDescent="0.2">
      <c r="A38" s="66"/>
      <c r="B38" s="10"/>
      <c r="C38" s="4"/>
      <c r="D38" s="11"/>
      <c r="E38" s="11"/>
      <c r="F38" s="11"/>
      <c r="G38" s="11"/>
      <c r="H38" s="63"/>
      <c r="I38" s="68"/>
    </row>
    <row r="39" spans="1:9" x14ac:dyDescent="0.2">
      <c r="A39" s="66"/>
      <c r="B39" s="10"/>
      <c r="C39" s="4"/>
      <c r="D39" s="69">
        <v>0</v>
      </c>
      <c r="E39" s="11"/>
      <c r="F39" s="11"/>
      <c r="G39" s="28" t="s">
        <v>64</v>
      </c>
      <c r="H39" s="63">
        <f>D39*H37</f>
        <v>0</v>
      </c>
      <c r="I39" s="68"/>
    </row>
    <row r="40" spans="1:9" x14ac:dyDescent="0.2">
      <c r="A40" s="66"/>
      <c r="B40" s="10"/>
      <c r="C40" s="4"/>
      <c r="D40" s="11"/>
      <c r="E40" s="11"/>
      <c r="F40" s="11"/>
      <c r="G40" s="28" t="s">
        <v>65</v>
      </c>
      <c r="H40" s="63">
        <f>H37+H39</f>
        <v>82122.8</v>
      </c>
      <c r="I40" s="68"/>
    </row>
    <row r="41" spans="1:9" x14ac:dyDescent="0.2">
      <c r="A41" s="66"/>
      <c r="B41" s="10"/>
      <c r="C41" s="4"/>
      <c r="D41" s="69">
        <v>0</v>
      </c>
      <c r="E41" s="11"/>
      <c r="F41" s="11"/>
      <c r="G41" s="28" t="s">
        <v>66</v>
      </c>
      <c r="H41" s="63">
        <f>D41*H40</f>
        <v>0</v>
      </c>
      <c r="I41" s="68"/>
    </row>
    <row r="42" spans="1:9" x14ac:dyDescent="0.2">
      <c r="A42" s="66"/>
      <c r="B42" s="10"/>
      <c r="C42" s="4"/>
      <c r="D42" s="11"/>
      <c r="E42" s="11"/>
      <c r="F42" s="11"/>
      <c r="G42" s="11"/>
      <c r="H42" s="12"/>
      <c r="I42" s="68"/>
    </row>
    <row r="43" spans="1:9" x14ac:dyDescent="0.2">
      <c r="A43" s="66"/>
      <c r="B43" s="10"/>
      <c r="C43" s="4"/>
      <c r="D43" s="11"/>
      <c r="E43" s="11"/>
      <c r="F43" s="11"/>
      <c r="H43" s="12"/>
      <c r="I43" s="68"/>
    </row>
    <row r="44" spans="1:9" x14ac:dyDescent="0.2">
      <c r="A44" s="66"/>
      <c r="B44" s="10"/>
      <c r="C44" s="4"/>
      <c r="D44" s="11"/>
      <c r="E44" s="11"/>
      <c r="F44" s="40"/>
      <c r="G44" s="41" t="s">
        <v>67</v>
      </c>
      <c r="H44" s="72">
        <f>H40+H41</f>
        <v>82122.8</v>
      </c>
      <c r="I44" s="68"/>
    </row>
    <row r="45" spans="1:9" x14ac:dyDescent="0.2">
      <c r="A45" s="66"/>
      <c r="B45" s="10"/>
      <c r="C45" s="4"/>
      <c r="D45" s="11"/>
      <c r="E45" s="11"/>
      <c r="F45" s="40"/>
      <c r="G45" s="41" t="s">
        <v>68</v>
      </c>
      <c r="H45" s="72">
        <f>(H17+H23+(H35*H10))</f>
        <v>68582.924279308136</v>
      </c>
      <c r="I45" s="68"/>
    </row>
    <row r="46" spans="1:9" x14ac:dyDescent="0.2">
      <c r="A46" s="75"/>
      <c r="B46" s="76"/>
      <c r="C46" s="73"/>
      <c r="D46" s="77"/>
      <c r="E46" s="77"/>
      <c r="F46" s="77"/>
      <c r="G46" s="77"/>
      <c r="H46" s="78"/>
      <c r="I46" s="74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1F83D7-DBD6-490C-BA18-3BD7E872F6BC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2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2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2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2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2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2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2" x14ac:dyDescent="0.2">
      <c r="A7" s="202" t="s">
        <v>101</v>
      </c>
      <c r="B7" s="203"/>
      <c r="C7" s="203"/>
      <c r="D7" s="203"/>
      <c r="E7" s="203"/>
      <c r="F7" s="203"/>
      <c r="G7" s="203"/>
      <c r="H7" s="203"/>
      <c r="I7" s="204"/>
    </row>
    <row r="8" spans="1:12" x14ac:dyDescent="0.2">
      <c r="A8" s="35"/>
      <c r="B8" s="4"/>
      <c r="C8" s="4"/>
      <c r="D8" s="5"/>
      <c r="E8" s="23" t="s">
        <v>22</v>
      </c>
      <c r="F8" s="24" t="s">
        <v>23</v>
      </c>
      <c r="G8" s="23" t="s">
        <v>24</v>
      </c>
      <c r="H8" s="25">
        <v>13</v>
      </c>
      <c r="I8" s="36"/>
    </row>
    <row r="9" spans="1:12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2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2" ht="12" x14ac:dyDescent="0.2">
      <c r="A11" s="35"/>
      <c r="B11" s="84" t="s">
        <v>102</v>
      </c>
      <c r="C11" s="4"/>
      <c r="D11" s="5"/>
      <c r="E11" s="23"/>
      <c r="F11" s="24"/>
      <c r="G11" s="23"/>
      <c r="H11" s="25"/>
      <c r="I11" s="36"/>
      <c r="K11" s="1" t="s">
        <v>103</v>
      </c>
      <c r="L11" s="1" t="s">
        <v>104</v>
      </c>
    </row>
    <row r="12" spans="1:12" x14ac:dyDescent="0.2">
      <c r="A12" s="35"/>
      <c r="B12" s="5"/>
      <c r="C12" s="5"/>
      <c r="D12" s="5"/>
      <c r="E12" s="5"/>
      <c r="F12" s="5"/>
      <c r="G12" s="5"/>
      <c r="H12" s="5"/>
      <c r="I12" s="36"/>
    </row>
    <row r="13" spans="1:12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2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 t="s">
        <v>105</v>
      </c>
    </row>
    <row r="15" spans="1:12" x14ac:dyDescent="0.2">
      <c r="A15" s="34"/>
      <c r="B15" s="109"/>
      <c r="C15" s="111" t="s">
        <v>106</v>
      </c>
      <c r="D15" s="102" t="s">
        <v>107</v>
      </c>
      <c r="E15" s="102">
        <v>2.2000000000000002</v>
      </c>
      <c r="F15" s="102">
        <v>0</v>
      </c>
      <c r="G15" s="105">
        <f>290*$F$9</f>
        <v>259497.80000000002</v>
      </c>
      <c r="H15" s="106">
        <f t="shared" ref="H15" si="0">E15*(1+F15)*G15</f>
        <v>570895.16</v>
      </c>
      <c r="I15" s="36"/>
      <c r="J15" s="123">
        <f>24.9*E15/(455*2)</f>
        <v>6.01978021978022E-2</v>
      </c>
      <c r="K15" s="96" t="s">
        <v>108</v>
      </c>
    </row>
    <row r="16" spans="1:12" x14ac:dyDescent="0.2">
      <c r="A16" s="34"/>
      <c r="B16" s="13"/>
      <c r="C16" s="14"/>
      <c r="D16" s="26"/>
      <c r="E16" s="26"/>
      <c r="F16" s="26"/>
      <c r="G16" s="29" t="s">
        <v>42</v>
      </c>
      <c r="H16" s="16">
        <f>SUM(H8:H15)</f>
        <v>605725.86775144143</v>
      </c>
      <c r="I16" s="36"/>
    </row>
    <row r="17" spans="1:14" x14ac:dyDescent="0.2">
      <c r="A17" s="34"/>
      <c r="B17" s="13"/>
      <c r="C17" s="14"/>
      <c r="D17" s="26"/>
      <c r="E17" s="26"/>
      <c r="F17" s="26"/>
      <c r="G17" s="29" t="s">
        <v>43</v>
      </c>
      <c r="H17" s="16">
        <f>H16</f>
        <v>605725.86775144143</v>
      </c>
      <c r="I17" s="36"/>
      <c r="K17" s="9"/>
    </row>
    <row r="18" spans="1:14" x14ac:dyDescent="0.2">
      <c r="A18" s="35"/>
      <c r="B18" s="5"/>
      <c r="C18" s="5"/>
      <c r="D18" s="5"/>
      <c r="E18" s="5"/>
      <c r="F18" s="5"/>
      <c r="G18" s="5"/>
      <c r="H18" s="5"/>
      <c r="I18" s="36"/>
    </row>
    <row r="19" spans="1:14" x14ac:dyDescent="0.2">
      <c r="A19" s="32" t="s">
        <v>44</v>
      </c>
      <c r="B19" s="4"/>
      <c r="C19" s="4"/>
      <c r="D19" s="4"/>
      <c r="E19" s="4"/>
      <c r="F19" s="4"/>
      <c r="G19" s="4"/>
      <c r="H19" s="4"/>
      <c r="I19" s="33"/>
      <c r="K19" s="1" t="s">
        <v>109</v>
      </c>
      <c r="M19" s="8"/>
    </row>
    <row r="20" spans="1:14" x14ac:dyDescent="0.2">
      <c r="A20" s="34"/>
      <c r="B20" s="7" t="s">
        <v>27</v>
      </c>
      <c r="C20" s="7" t="s">
        <v>28</v>
      </c>
      <c r="D20" s="7" t="s">
        <v>11</v>
      </c>
      <c r="E20" s="7" t="s">
        <v>29</v>
      </c>
      <c r="F20" s="7" t="s">
        <v>31</v>
      </c>
      <c r="G20" s="7" t="s">
        <v>45</v>
      </c>
      <c r="H20" s="7" t="s">
        <v>46</v>
      </c>
      <c r="I20" s="33"/>
    </row>
    <row r="21" spans="1:14" x14ac:dyDescent="0.2">
      <c r="A21" s="34"/>
      <c r="B21" s="17"/>
      <c r="C21" s="53" t="s">
        <v>110</v>
      </c>
      <c r="D21" s="21" t="s">
        <v>48</v>
      </c>
      <c r="E21" s="21">
        <v>1</v>
      </c>
      <c r="F21" s="21">
        <f>H16*0.015</f>
        <v>9085.8880162716214</v>
      </c>
      <c r="G21" s="21">
        <v>1</v>
      </c>
      <c r="H21" s="22">
        <f>F21*E21*G21</f>
        <v>9085.8880162716214</v>
      </c>
      <c r="I21" s="33"/>
      <c r="K21" s="9" t="s">
        <v>111</v>
      </c>
    </row>
    <row r="22" spans="1:14" x14ac:dyDescent="0.2">
      <c r="A22" s="34"/>
      <c r="B22" s="17"/>
      <c r="C22" s="53" t="s">
        <v>112</v>
      </c>
      <c r="D22" s="21" t="s">
        <v>113</v>
      </c>
      <c r="E22" s="21">
        <v>1</v>
      </c>
      <c r="F22" s="21">
        <v>6500</v>
      </c>
      <c r="G22" s="21">
        <v>1</v>
      </c>
      <c r="H22" s="22">
        <f t="shared" ref="H22" si="1">F22*E22*G22</f>
        <v>6500</v>
      </c>
      <c r="I22" s="33"/>
      <c r="K22" s="9"/>
    </row>
    <row r="23" spans="1:14" x14ac:dyDescent="0.2">
      <c r="A23" s="34"/>
      <c r="B23" s="13"/>
      <c r="C23" s="14"/>
      <c r="D23" s="15"/>
      <c r="E23" s="15"/>
      <c r="F23" s="15"/>
      <c r="G23" s="30" t="s">
        <v>49</v>
      </c>
      <c r="H23" s="27">
        <f>SUM(H21:H22)</f>
        <v>15585.888016271621</v>
      </c>
      <c r="I23" s="33"/>
      <c r="K23" s="9" t="s">
        <v>114</v>
      </c>
      <c r="M23" s="1" t="s">
        <v>115</v>
      </c>
      <c r="N23" s="1">
        <v>2</v>
      </c>
    </row>
    <row r="24" spans="1:14" x14ac:dyDescent="0.2">
      <c r="A24" s="34"/>
      <c r="B24" s="13"/>
      <c r="C24" s="14"/>
      <c r="D24" s="15"/>
      <c r="E24" s="15"/>
      <c r="F24" s="15"/>
      <c r="G24" s="30" t="s">
        <v>50</v>
      </c>
      <c r="H24" s="27">
        <f>H23/H8</f>
        <v>1198.9144627901246</v>
      </c>
      <c r="I24" s="33"/>
      <c r="K24" s="9"/>
    </row>
    <row r="25" spans="1:14" x14ac:dyDescent="0.2">
      <c r="A25" s="32"/>
      <c r="B25" s="10"/>
      <c r="C25" s="4"/>
      <c r="D25" s="11"/>
      <c r="E25" s="11"/>
      <c r="F25" s="11"/>
      <c r="G25" s="11"/>
      <c r="H25" s="12"/>
      <c r="I25" s="33"/>
      <c r="K25" s="1" t="s">
        <v>116</v>
      </c>
      <c r="M25" s="1">
        <f>455*6/1000</f>
        <v>2.73</v>
      </c>
      <c r="N25" s="1">
        <f>8/M25</f>
        <v>2.9304029304029302</v>
      </c>
    </row>
    <row r="26" spans="1:14" x14ac:dyDescent="0.2">
      <c r="A26" s="32" t="s">
        <v>51</v>
      </c>
      <c r="B26" s="10"/>
      <c r="C26" s="4"/>
      <c r="D26" s="11"/>
      <c r="E26" s="11"/>
      <c r="F26" s="11"/>
      <c r="G26" s="11"/>
      <c r="H26" s="12"/>
      <c r="I26" s="33"/>
    </row>
    <row r="27" spans="1:14" x14ac:dyDescent="0.2">
      <c r="A27" s="32"/>
      <c r="B27" s="7" t="s">
        <v>27</v>
      </c>
      <c r="C27" s="7" t="s">
        <v>28</v>
      </c>
      <c r="D27" s="7" t="s">
        <v>11</v>
      </c>
      <c r="E27" s="7" t="s">
        <v>29</v>
      </c>
      <c r="F27" s="7" t="s">
        <v>52</v>
      </c>
      <c r="G27" s="7"/>
      <c r="H27" s="7" t="s">
        <v>46</v>
      </c>
      <c r="I27" s="33"/>
      <c r="N27" s="1">
        <f>N25*6.5</f>
        <v>19.047619047619047</v>
      </c>
    </row>
    <row r="28" spans="1:14" x14ac:dyDescent="0.2">
      <c r="A28" s="32"/>
      <c r="B28" s="17"/>
      <c r="C28" s="53" t="s">
        <v>117</v>
      </c>
      <c r="D28" s="21" t="s">
        <v>118</v>
      </c>
      <c r="E28" s="20">
        <v>0.2</v>
      </c>
      <c r="F28" s="18">
        <v>40000</v>
      </c>
      <c r="G28" s="21"/>
      <c r="H28" s="18">
        <f>E28*F28</f>
        <v>8000</v>
      </c>
      <c r="I28" s="33"/>
    </row>
    <row r="29" spans="1:14" x14ac:dyDescent="0.2">
      <c r="A29" s="32"/>
      <c r="B29" s="17"/>
      <c r="C29" s="53" t="s">
        <v>53</v>
      </c>
      <c r="D29" s="21" t="s">
        <v>118</v>
      </c>
      <c r="E29" s="20">
        <v>0.25</v>
      </c>
      <c r="F29" s="18">
        <v>35000</v>
      </c>
      <c r="G29" s="21"/>
      <c r="H29" s="18">
        <f>E29*F29</f>
        <v>8750</v>
      </c>
      <c r="I29" s="33"/>
      <c r="K29" s="1" t="s">
        <v>119</v>
      </c>
    </row>
    <row r="30" spans="1:14" ht="12" thickBot="1" x14ac:dyDescent="0.25">
      <c r="A30" s="32"/>
      <c r="B30" s="17"/>
      <c r="C30" s="53" t="s">
        <v>55</v>
      </c>
      <c r="D30" s="21" t="s">
        <v>118</v>
      </c>
      <c r="E30" s="20">
        <v>1</v>
      </c>
      <c r="F30" s="18">
        <v>30000</v>
      </c>
      <c r="G30" s="62"/>
      <c r="H30" s="18">
        <f>E30*F30</f>
        <v>30000</v>
      </c>
      <c r="I30" s="33"/>
      <c r="K30" s="1" t="s">
        <v>120</v>
      </c>
    </row>
    <row r="31" spans="1:14" ht="12" thickBot="1" x14ac:dyDescent="0.25">
      <c r="A31" s="32"/>
      <c r="B31" s="17"/>
      <c r="C31" s="53" t="s">
        <v>57</v>
      </c>
      <c r="D31" s="21" t="s">
        <v>118</v>
      </c>
      <c r="E31" s="20">
        <v>1</v>
      </c>
      <c r="F31" s="18">
        <v>25000</v>
      </c>
      <c r="G31" s="62"/>
      <c r="H31" s="18">
        <f t="shared" ref="H31" si="2">E31*F31</f>
        <v>25000</v>
      </c>
      <c r="I31" s="33"/>
      <c r="K31" s="98" t="s">
        <v>115</v>
      </c>
      <c r="L31" s="99">
        <v>2</v>
      </c>
    </row>
    <row r="32" spans="1:14" x14ac:dyDescent="0.2">
      <c r="A32" s="32"/>
      <c r="B32" s="10"/>
      <c r="C32" s="4"/>
      <c r="D32" s="11"/>
      <c r="E32" s="11"/>
      <c r="F32" s="11"/>
      <c r="G32" s="30" t="s">
        <v>58</v>
      </c>
      <c r="H32" s="63">
        <f>SUM(H28:H31)</f>
        <v>71750</v>
      </c>
      <c r="I32" s="33"/>
    </row>
    <row r="33" spans="1:12" x14ac:dyDescent="0.2">
      <c r="A33" s="32"/>
      <c r="B33" s="10"/>
      <c r="C33" s="4"/>
      <c r="D33" s="11"/>
      <c r="E33" s="11"/>
      <c r="F33" s="11"/>
      <c r="G33" s="31"/>
      <c r="H33" s="12"/>
      <c r="I33" s="33"/>
      <c r="K33" s="1" t="s">
        <v>121</v>
      </c>
      <c r="L33" s="1">
        <v>625259.19230769225</v>
      </c>
    </row>
    <row r="34" spans="1:12" x14ac:dyDescent="0.2">
      <c r="A34" s="32"/>
      <c r="B34" s="10"/>
      <c r="C34" s="4"/>
      <c r="D34" s="11"/>
      <c r="E34" s="11"/>
      <c r="F34" s="11"/>
      <c r="G34" s="30" t="s">
        <v>59</v>
      </c>
      <c r="H34" s="63">
        <f>H32</f>
        <v>71750</v>
      </c>
      <c r="I34" s="33"/>
      <c r="K34" s="1" t="s">
        <v>122</v>
      </c>
      <c r="L34" s="1">
        <v>633917.88461538462</v>
      </c>
    </row>
    <row r="35" spans="1:12" ht="12" thickBot="1" x14ac:dyDescent="0.25">
      <c r="A35" s="32"/>
      <c r="B35" s="10"/>
      <c r="C35" s="4"/>
      <c r="D35" s="11"/>
      <c r="E35" s="69">
        <v>0.56999999999999995</v>
      </c>
      <c r="F35" s="11"/>
      <c r="G35" s="30" t="s">
        <v>60</v>
      </c>
      <c r="H35" s="70">
        <f>H34*E35</f>
        <v>40897.5</v>
      </c>
      <c r="I35" s="33"/>
    </row>
    <row r="36" spans="1:12" ht="12" thickBot="1" x14ac:dyDescent="0.25">
      <c r="A36" s="32"/>
      <c r="B36" s="10"/>
      <c r="C36" s="4"/>
      <c r="D36" s="11"/>
      <c r="E36" s="69">
        <v>0</v>
      </c>
      <c r="F36" s="11"/>
      <c r="G36" s="30" t="s">
        <v>61</v>
      </c>
      <c r="H36" s="63">
        <f>H34*E36</f>
        <v>0</v>
      </c>
      <c r="I36" s="33"/>
      <c r="K36" s="97" t="s">
        <v>123</v>
      </c>
      <c r="L36" s="100">
        <f>L34/L33</f>
        <v>1.0138481647518609</v>
      </c>
    </row>
    <row r="37" spans="1:12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12" x14ac:dyDescent="0.2">
      <c r="A38" s="32"/>
      <c r="B38" s="10"/>
      <c r="C38" s="4"/>
      <c r="D38" s="11"/>
      <c r="E38" s="11"/>
      <c r="F38" s="11"/>
      <c r="G38" s="30" t="s">
        <v>58</v>
      </c>
      <c r="H38" s="63">
        <f>H34+H35+H36</f>
        <v>112647.5</v>
      </c>
      <c r="I38" s="33"/>
    </row>
    <row r="39" spans="1:12" x14ac:dyDescent="0.2">
      <c r="A39" s="32"/>
      <c r="B39" s="10"/>
      <c r="C39" s="4"/>
      <c r="D39" s="11"/>
      <c r="E39" s="11"/>
      <c r="F39" s="11"/>
      <c r="G39" s="30" t="s">
        <v>62</v>
      </c>
      <c r="H39" s="71">
        <f>H38/$H$8</f>
        <v>8665.1923076923085</v>
      </c>
      <c r="I39" s="33"/>
      <c r="K39" s="1" t="s">
        <v>119</v>
      </c>
    </row>
    <row r="40" spans="1:12" ht="12" thickBot="1" x14ac:dyDescent="0.25">
      <c r="A40" s="32"/>
      <c r="B40" s="10"/>
      <c r="C40" s="4"/>
      <c r="D40" s="11"/>
      <c r="E40" s="11"/>
      <c r="F40" s="11"/>
      <c r="G40" s="31"/>
      <c r="H40" s="12"/>
      <c r="I40" s="33"/>
      <c r="K40" s="1" t="s">
        <v>124</v>
      </c>
    </row>
    <row r="41" spans="1:12" ht="12" thickBot="1" x14ac:dyDescent="0.25">
      <c r="A41" s="32"/>
      <c r="B41" s="10"/>
      <c r="C41" s="4"/>
      <c r="D41" s="11"/>
      <c r="E41" s="11"/>
      <c r="F41" s="11"/>
      <c r="G41" s="30" t="s">
        <v>63</v>
      </c>
      <c r="H41" s="63">
        <f>H17+H24+H39</f>
        <v>615589.97452192381</v>
      </c>
      <c r="I41" s="33"/>
      <c r="K41" s="97" t="s">
        <v>123</v>
      </c>
      <c r="L41" s="100">
        <v>1</v>
      </c>
    </row>
    <row r="42" spans="1:12" x14ac:dyDescent="0.2">
      <c r="A42" s="32"/>
      <c r="B42" s="10"/>
      <c r="C42" s="4"/>
      <c r="D42" s="11"/>
      <c r="E42" s="11"/>
      <c r="F42" s="11"/>
      <c r="G42" s="11"/>
      <c r="H42" s="63"/>
      <c r="I42" s="33"/>
    </row>
    <row r="43" spans="1:12" x14ac:dyDescent="0.2">
      <c r="A43" s="32"/>
      <c r="B43" s="10"/>
      <c r="C43" s="4"/>
      <c r="D43" s="69">
        <v>0</v>
      </c>
      <c r="E43" s="11"/>
      <c r="F43" s="11"/>
      <c r="G43" s="28" t="s">
        <v>64</v>
      </c>
      <c r="H43" s="63">
        <f>D43*H41</f>
        <v>0</v>
      </c>
      <c r="I43" s="33"/>
    </row>
    <row r="44" spans="1:12" x14ac:dyDescent="0.2">
      <c r="A44" s="32"/>
      <c r="B44" s="10"/>
      <c r="C44" s="4"/>
      <c r="D44" s="11"/>
      <c r="E44" s="11"/>
      <c r="F44" s="11"/>
      <c r="G44" s="28" t="s">
        <v>65</v>
      </c>
      <c r="H44" s="63">
        <f>H41+H43</f>
        <v>615589.97452192381</v>
      </c>
      <c r="I44" s="33"/>
    </row>
    <row r="45" spans="1:12" x14ac:dyDescent="0.2">
      <c r="A45" s="32"/>
      <c r="B45" s="10"/>
      <c r="C45" s="4"/>
      <c r="D45" s="69">
        <v>0</v>
      </c>
      <c r="E45" s="11"/>
      <c r="F45" s="11"/>
      <c r="G45" s="28" t="s">
        <v>66</v>
      </c>
      <c r="H45" s="63">
        <f>D45*H44</f>
        <v>0</v>
      </c>
      <c r="I45" s="33"/>
    </row>
    <row r="46" spans="1:12" x14ac:dyDescent="0.2">
      <c r="A46" s="32"/>
      <c r="B46" s="10"/>
      <c r="C46" s="4"/>
      <c r="D46" s="11"/>
      <c r="E46" s="11"/>
      <c r="F46" s="11"/>
      <c r="G46" s="11"/>
      <c r="H46" s="12"/>
      <c r="I46" s="33"/>
    </row>
    <row r="47" spans="1:12" x14ac:dyDescent="0.2">
      <c r="A47" s="32"/>
      <c r="B47" s="10"/>
      <c r="C47" s="4"/>
      <c r="D47" s="11"/>
      <c r="E47" s="11"/>
      <c r="F47" s="11"/>
      <c r="H47" s="12"/>
      <c r="I47" s="33"/>
    </row>
    <row r="48" spans="1:12" x14ac:dyDescent="0.2">
      <c r="A48" s="32"/>
      <c r="B48" s="10"/>
      <c r="C48" s="4"/>
      <c r="D48" s="11"/>
      <c r="E48" s="11"/>
      <c r="F48" s="40"/>
      <c r="G48" s="41" t="s">
        <v>67</v>
      </c>
      <c r="H48" s="72">
        <f>(H44+H45)*L41</f>
        <v>615589.97452192381</v>
      </c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68</v>
      </c>
      <c r="H49" s="72">
        <f>(H17+H24+(H39*H10))</f>
        <v>613057.58455986797</v>
      </c>
      <c r="I49" s="33"/>
    </row>
    <row r="50" spans="1:9" ht="12" thickBot="1" x14ac:dyDescent="0.25">
      <c r="A50" s="37"/>
      <c r="B50" s="38"/>
      <c r="C50" s="38"/>
      <c r="D50" s="38"/>
      <c r="E50" s="38"/>
      <c r="F50" s="38"/>
      <c r="G50" s="38"/>
      <c r="H50" s="38"/>
      <c r="I50" s="39"/>
    </row>
  </sheetData>
  <mergeCells count="1">
    <mergeCell ref="A7:I7"/>
  </mergeCells>
  <pageMargins left="0.7" right="0.7" top="0.75" bottom="0.75" header="0.3" footer="0.3"/>
  <pageSetup scale="9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B95F68-24CF-42EF-B8BD-52F852F3A43F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CB497-0874-4748-9024-AA034CC228CF}">
  <dimension ref="A1:N50"/>
  <sheetViews>
    <sheetView view="pageBreakPreview" zoomScaleNormal="100" zoomScaleSheetLayoutView="100" workbookViewId="0">
      <selection activeCell="A7" sqref="A7:I7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2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2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2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2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2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2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2" x14ac:dyDescent="0.2">
      <c r="A7" s="202" t="s">
        <v>14</v>
      </c>
      <c r="B7" s="203"/>
      <c r="C7" s="203"/>
      <c r="D7" s="203"/>
      <c r="E7" s="203"/>
      <c r="F7" s="203"/>
      <c r="G7" s="203"/>
      <c r="H7" s="203"/>
      <c r="I7" s="204"/>
    </row>
    <row r="8" spans="1:12" x14ac:dyDescent="0.2">
      <c r="A8" s="35"/>
      <c r="B8" s="4"/>
      <c r="C8" s="4"/>
      <c r="D8" s="5"/>
      <c r="E8" s="23" t="s">
        <v>22</v>
      </c>
      <c r="F8" s="24" t="s">
        <v>23</v>
      </c>
      <c r="G8" s="23" t="s">
        <v>24</v>
      </c>
      <c r="H8" s="25">
        <f>13</f>
        <v>13</v>
      </c>
      <c r="I8" s="36"/>
    </row>
    <row r="9" spans="1:12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2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2" ht="12" x14ac:dyDescent="0.2">
      <c r="A11" s="35"/>
      <c r="B11" s="84" t="s">
        <v>102</v>
      </c>
      <c r="C11" s="4"/>
      <c r="D11" s="5"/>
      <c r="E11" s="23"/>
      <c r="F11" s="24"/>
      <c r="G11" s="23"/>
      <c r="H11" s="25"/>
      <c r="I11" s="36"/>
      <c r="K11" s="1" t="s">
        <v>103</v>
      </c>
      <c r="L11" s="1" t="s">
        <v>104</v>
      </c>
    </row>
    <row r="12" spans="1:12" x14ac:dyDescent="0.2">
      <c r="A12" s="35"/>
      <c r="B12" s="5"/>
      <c r="C12" s="5"/>
      <c r="D12" s="5"/>
      <c r="E12" s="5"/>
      <c r="F12" s="5"/>
      <c r="G12" s="5"/>
      <c r="H12" s="5"/>
      <c r="I12" s="36"/>
    </row>
    <row r="13" spans="1:12" x14ac:dyDescent="0.2">
      <c r="A13" s="32" t="s">
        <v>26</v>
      </c>
      <c r="B13" s="4"/>
      <c r="C13" s="4"/>
      <c r="D13" s="4"/>
      <c r="E13" s="4"/>
      <c r="F13" s="4"/>
      <c r="G13" s="4"/>
      <c r="H13" s="4"/>
      <c r="I13" s="36"/>
      <c r="J13" s="6"/>
    </row>
    <row r="14" spans="1:12" x14ac:dyDescent="0.2">
      <c r="A14" s="34"/>
      <c r="B14" s="7" t="s">
        <v>27</v>
      </c>
      <c r="C14" s="7" t="s">
        <v>28</v>
      </c>
      <c r="D14" s="7" t="s">
        <v>11</v>
      </c>
      <c r="E14" s="7" t="s">
        <v>29</v>
      </c>
      <c r="F14" s="7" t="s">
        <v>30</v>
      </c>
      <c r="G14" s="7" t="s">
        <v>31</v>
      </c>
      <c r="H14" s="7" t="s">
        <v>32</v>
      </c>
      <c r="I14" s="36"/>
      <c r="J14" s="122" t="s">
        <v>105</v>
      </c>
    </row>
    <row r="15" spans="1:12" x14ac:dyDescent="0.2">
      <c r="A15" s="34"/>
      <c r="B15" s="7"/>
      <c r="C15" s="111" t="s">
        <v>106</v>
      </c>
      <c r="D15" s="102" t="s">
        <v>107</v>
      </c>
      <c r="E15" s="102">
        <v>2.2000000000000002</v>
      </c>
      <c r="F15" s="102">
        <v>0</v>
      </c>
      <c r="G15" s="105">
        <f>290*$F$9</f>
        <v>259497.80000000002</v>
      </c>
      <c r="H15" s="106">
        <f t="shared" ref="H15" si="0">E15*(1+F15)*G15</f>
        <v>570895.16</v>
      </c>
      <c r="I15" s="36"/>
      <c r="J15" s="124">
        <f>24.9*E15/(455*2)</f>
        <v>6.01978021978022E-2</v>
      </c>
      <c r="K15" s="96" t="s">
        <v>108</v>
      </c>
    </row>
    <row r="16" spans="1:12" x14ac:dyDescent="0.2">
      <c r="A16" s="34"/>
      <c r="B16" s="13"/>
      <c r="C16" s="14"/>
      <c r="D16" s="26"/>
      <c r="E16" s="26"/>
      <c r="F16" s="26"/>
      <c r="G16" s="29" t="s">
        <v>42</v>
      </c>
      <c r="H16" s="16">
        <f>SUM(H8:H15)</f>
        <v>605725.86775144143</v>
      </c>
      <c r="I16" s="36"/>
    </row>
    <row r="17" spans="1:14" x14ac:dyDescent="0.2">
      <c r="A17" s="34"/>
      <c r="B17" s="13"/>
      <c r="C17" s="14"/>
      <c r="D17" s="26"/>
      <c r="E17" s="26"/>
      <c r="F17" s="26"/>
      <c r="G17" s="29" t="s">
        <v>43</v>
      </c>
      <c r="H17" s="16">
        <f>H16</f>
        <v>605725.86775144143</v>
      </c>
      <c r="I17" s="36"/>
      <c r="K17" s="9"/>
    </row>
    <row r="18" spans="1:14" x14ac:dyDescent="0.2">
      <c r="A18" s="35"/>
      <c r="B18" s="5"/>
      <c r="C18" s="5"/>
      <c r="D18" s="5"/>
      <c r="E18" s="5"/>
      <c r="F18" s="5"/>
      <c r="G18" s="5"/>
      <c r="H18" s="5"/>
      <c r="I18" s="36"/>
    </row>
    <row r="19" spans="1:14" x14ac:dyDescent="0.2">
      <c r="A19" s="32" t="s">
        <v>44</v>
      </c>
      <c r="B19" s="4"/>
      <c r="C19" s="4"/>
      <c r="D19" s="4"/>
      <c r="E19" s="4"/>
      <c r="F19" s="4"/>
      <c r="G19" s="4"/>
      <c r="H19" s="4"/>
      <c r="I19" s="33"/>
      <c r="K19" s="1" t="s">
        <v>109</v>
      </c>
      <c r="M19" s="8"/>
    </row>
    <row r="20" spans="1:14" x14ac:dyDescent="0.2">
      <c r="A20" s="34"/>
      <c r="B20" s="7" t="s">
        <v>27</v>
      </c>
      <c r="C20" s="7" t="s">
        <v>28</v>
      </c>
      <c r="D20" s="7" t="s">
        <v>11</v>
      </c>
      <c r="E20" s="7" t="s">
        <v>29</v>
      </c>
      <c r="F20" s="7" t="s">
        <v>31</v>
      </c>
      <c r="G20" s="7" t="s">
        <v>45</v>
      </c>
      <c r="H20" s="7" t="s">
        <v>46</v>
      </c>
      <c r="I20" s="33"/>
    </row>
    <row r="21" spans="1:14" x14ac:dyDescent="0.2">
      <c r="A21" s="34"/>
      <c r="B21" s="17"/>
      <c r="C21" s="53" t="s">
        <v>110</v>
      </c>
      <c r="D21" s="21" t="s">
        <v>48</v>
      </c>
      <c r="E21" s="21">
        <v>1</v>
      </c>
      <c r="F21" s="21">
        <f>H16*0.015</f>
        <v>9085.8880162716214</v>
      </c>
      <c r="G21" s="21">
        <v>1</v>
      </c>
      <c r="H21" s="22">
        <f>F21*E21*G21</f>
        <v>9085.8880162716214</v>
      </c>
      <c r="I21" s="33"/>
      <c r="K21" s="9" t="s">
        <v>111</v>
      </c>
    </row>
    <row r="22" spans="1:14" x14ac:dyDescent="0.2">
      <c r="A22" s="34"/>
      <c r="B22" s="17"/>
      <c r="C22" s="53" t="s">
        <v>125</v>
      </c>
      <c r="D22" s="21" t="s">
        <v>118</v>
      </c>
      <c r="E22" s="21">
        <v>1</v>
      </c>
      <c r="F22" s="174">
        <v>35000</v>
      </c>
      <c r="G22" s="21">
        <v>1</v>
      </c>
      <c r="H22" s="22">
        <f t="shared" ref="H22" si="1">F22*E22*G22</f>
        <v>35000</v>
      </c>
      <c r="I22" s="33"/>
      <c r="K22" s="9"/>
    </row>
    <row r="23" spans="1:14" x14ac:dyDescent="0.2">
      <c r="A23" s="34"/>
      <c r="B23" s="13"/>
      <c r="C23" s="14"/>
      <c r="D23" s="15"/>
      <c r="E23" s="15"/>
      <c r="F23" s="15"/>
      <c r="G23" s="30" t="s">
        <v>49</v>
      </c>
      <c r="H23" s="27">
        <f>SUM(H21:H22)</f>
        <v>44085.888016271623</v>
      </c>
      <c r="I23" s="33"/>
      <c r="K23" s="9" t="s">
        <v>114</v>
      </c>
      <c r="M23" s="1" t="s">
        <v>115</v>
      </c>
      <c r="N23" s="1">
        <v>2</v>
      </c>
    </row>
    <row r="24" spans="1:14" x14ac:dyDescent="0.2">
      <c r="A24" s="34"/>
      <c r="B24" s="13"/>
      <c r="C24" s="14"/>
      <c r="D24" s="15"/>
      <c r="E24" s="15"/>
      <c r="F24" s="15"/>
      <c r="G24" s="30" t="s">
        <v>50</v>
      </c>
      <c r="H24" s="27">
        <f>H23/H8</f>
        <v>3391.222155097817</v>
      </c>
      <c r="I24" s="33"/>
      <c r="K24" s="9"/>
    </row>
    <row r="25" spans="1:14" x14ac:dyDescent="0.2">
      <c r="A25" s="32"/>
      <c r="B25" s="10"/>
      <c r="C25" s="4"/>
      <c r="D25" s="11"/>
      <c r="E25" s="11"/>
      <c r="F25" s="11"/>
      <c r="G25" s="11"/>
      <c r="H25" s="12"/>
      <c r="I25" s="33"/>
      <c r="K25" s="1" t="s">
        <v>116</v>
      </c>
      <c r="M25" s="1">
        <f>455*6/1000</f>
        <v>2.73</v>
      </c>
      <c r="N25" s="1">
        <f>8/M25</f>
        <v>2.9304029304029302</v>
      </c>
    </row>
    <row r="26" spans="1:14" x14ac:dyDescent="0.2">
      <c r="A26" s="32" t="s">
        <v>51</v>
      </c>
      <c r="B26" s="10"/>
      <c r="C26" s="4"/>
      <c r="D26" s="11"/>
      <c r="E26" s="11"/>
      <c r="F26" s="11"/>
      <c r="G26" s="11"/>
      <c r="H26" s="12"/>
      <c r="I26" s="33"/>
    </row>
    <row r="27" spans="1:14" x14ac:dyDescent="0.2">
      <c r="A27" s="32"/>
      <c r="B27" s="7" t="s">
        <v>27</v>
      </c>
      <c r="C27" s="7" t="s">
        <v>28</v>
      </c>
      <c r="D27" s="7" t="s">
        <v>11</v>
      </c>
      <c r="E27" s="7" t="s">
        <v>29</v>
      </c>
      <c r="F27" s="7" t="s">
        <v>52</v>
      </c>
      <c r="G27" s="7"/>
      <c r="H27" s="7" t="s">
        <v>46</v>
      </c>
      <c r="I27" s="33"/>
      <c r="N27" s="1">
        <f>N25*6.5</f>
        <v>19.047619047619047</v>
      </c>
    </row>
    <row r="28" spans="1:14" x14ac:dyDescent="0.2">
      <c r="A28" s="32"/>
      <c r="B28" s="17"/>
      <c r="C28" s="53" t="s">
        <v>117</v>
      </c>
      <c r="D28" s="21" t="s">
        <v>118</v>
      </c>
      <c r="E28" s="20">
        <f>0.2</f>
        <v>0.2</v>
      </c>
      <c r="F28" s="18">
        <v>40000</v>
      </c>
      <c r="G28" s="21"/>
      <c r="H28" s="18">
        <f>E28*F28</f>
        <v>8000</v>
      </c>
      <c r="I28" s="33"/>
    </row>
    <row r="29" spans="1:14" x14ac:dyDescent="0.2">
      <c r="A29" s="32"/>
      <c r="B29" s="17"/>
      <c r="C29" s="53" t="s">
        <v>53</v>
      </c>
      <c r="D29" s="21" t="s">
        <v>118</v>
      </c>
      <c r="E29" s="20">
        <f>0.25</f>
        <v>0.25</v>
      </c>
      <c r="F29" s="18">
        <v>35000</v>
      </c>
      <c r="G29" s="21"/>
      <c r="H29" s="18">
        <f>E29*F29</f>
        <v>8750</v>
      </c>
      <c r="I29" s="33"/>
      <c r="K29" s="1" t="s">
        <v>119</v>
      </c>
    </row>
    <row r="30" spans="1:14" ht="12" thickBot="1" x14ac:dyDescent="0.25">
      <c r="A30" s="32"/>
      <c r="B30" s="17"/>
      <c r="C30" s="53" t="s">
        <v>55</v>
      </c>
      <c r="D30" s="21" t="s">
        <v>118</v>
      </c>
      <c r="E30" s="20">
        <f>1</f>
        <v>1</v>
      </c>
      <c r="F30" s="18">
        <v>30000</v>
      </c>
      <c r="G30" s="62"/>
      <c r="H30" s="18">
        <f>E30*F30</f>
        <v>30000</v>
      </c>
      <c r="I30" s="33"/>
      <c r="K30" s="1" t="s">
        <v>120</v>
      </c>
    </row>
    <row r="31" spans="1:14" ht="12" thickBot="1" x14ac:dyDescent="0.25">
      <c r="A31" s="32"/>
      <c r="B31" s="17"/>
      <c r="C31" s="53" t="s">
        <v>57</v>
      </c>
      <c r="D31" s="21" t="s">
        <v>118</v>
      </c>
      <c r="E31" s="20">
        <f>1</f>
        <v>1</v>
      </c>
      <c r="F31" s="18">
        <v>25000</v>
      </c>
      <c r="G31" s="62"/>
      <c r="H31" s="18">
        <f t="shared" ref="H31" si="2">E31*F31</f>
        <v>25000</v>
      </c>
      <c r="I31" s="33"/>
      <c r="K31" s="98" t="s">
        <v>115</v>
      </c>
      <c r="L31" s="99">
        <v>2</v>
      </c>
    </row>
    <row r="32" spans="1:14" x14ac:dyDescent="0.2">
      <c r="A32" s="32"/>
      <c r="B32" s="10"/>
      <c r="C32" s="4"/>
      <c r="D32" s="11"/>
      <c r="E32" s="11"/>
      <c r="F32" s="11"/>
      <c r="G32" s="30" t="s">
        <v>58</v>
      </c>
      <c r="H32" s="63">
        <f>SUM(H28:H31)</f>
        <v>71750</v>
      </c>
      <c r="I32" s="33"/>
    </row>
    <row r="33" spans="1:12" x14ac:dyDescent="0.2">
      <c r="A33" s="32"/>
      <c r="B33" s="10"/>
      <c r="C33" s="4"/>
      <c r="D33" s="11"/>
      <c r="E33" s="11"/>
      <c r="F33" s="11"/>
      <c r="G33" s="31"/>
      <c r="H33" s="12"/>
      <c r="I33" s="33"/>
      <c r="K33" s="1" t="s">
        <v>121</v>
      </c>
      <c r="L33" s="1">
        <v>625259.19230769225</v>
      </c>
    </row>
    <row r="34" spans="1:12" x14ac:dyDescent="0.2">
      <c r="A34" s="32"/>
      <c r="B34" s="10"/>
      <c r="C34" s="4"/>
      <c r="D34" s="11"/>
      <c r="E34" s="11"/>
      <c r="F34" s="11"/>
      <c r="G34" s="30" t="s">
        <v>59</v>
      </c>
      <c r="H34" s="63">
        <f>H32</f>
        <v>71750</v>
      </c>
      <c r="I34" s="33"/>
      <c r="K34" s="1" t="s">
        <v>122</v>
      </c>
      <c r="L34" s="1">
        <v>633917.88461538462</v>
      </c>
    </row>
    <row r="35" spans="1:12" ht="12" thickBot="1" x14ac:dyDescent="0.25">
      <c r="A35" s="32"/>
      <c r="B35" s="10"/>
      <c r="C35" s="4"/>
      <c r="D35" s="11"/>
      <c r="E35" s="69">
        <v>0.56999999999999995</v>
      </c>
      <c r="F35" s="11"/>
      <c r="G35" s="30" t="s">
        <v>60</v>
      </c>
      <c r="H35" s="70">
        <f>H34*E35</f>
        <v>40897.5</v>
      </c>
      <c r="I35" s="33"/>
    </row>
    <row r="36" spans="1:12" ht="12" thickBot="1" x14ac:dyDescent="0.25">
      <c r="A36" s="32"/>
      <c r="B36" s="10"/>
      <c r="C36" s="4"/>
      <c r="D36" s="11"/>
      <c r="E36" s="69">
        <v>0</v>
      </c>
      <c r="F36" s="11"/>
      <c r="G36" s="30" t="s">
        <v>61</v>
      </c>
      <c r="H36" s="63">
        <f>H34*E36</f>
        <v>0</v>
      </c>
      <c r="I36" s="33"/>
      <c r="K36" s="97" t="s">
        <v>123</v>
      </c>
      <c r="L36" s="100">
        <f>L34/L33</f>
        <v>1.0138481647518609</v>
      </c>
    </row>
    <row r="37" spans="1:12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12" x14ac:dyDescent="0.2">
      <c r="A38" s="32"/>
      <c r="B38" s="10"/>
      <c r="C38" s="4"/>
      <c r="D38" s="11"/>
      <c r="E38" s="11"/>
      <c r="F38" s="11"/>
      <c r="G38" s="30" t="s">
        <v>58</v>
      </c>
      <c r="H38" s="63">
        <f>H34+H35+H36</f>
        <v>112647.5</v>
      </c>
      <c r="I38" s="33"/>
    </row>
    <row r="39" spans="1:12" x14ac:dyDescent="0.2">
      <c r="A39" s="32"/>
      <c r="B39" s="10"/>
      <c r="C39" s="4"/>
      <c r="D39" s="11"/>
      <c r="E39" s="11"/>
      <c r="F39" s="11"/>
      <c r="G39" s="30" t="s">
        <v>62</v>
      </c>
      <c r="H39" s="71">
        <f>H38/$H$8</f>
        <v>8665.1923076923085</v>
      </c>
      <c r="I39" s="33"/>
      <c r="K39" s="1" t="s">
        <v>119</v>
      </c>
    </row>
    <row r="40" spans="1:12" ht="12" thickBot="1" x14ac:dyDescent="0.25">
      <c r="A40" s="32"/>
      <c r="B40" s="10"/>
      <c r="C40" s="4"/>
      <c r="D40" s="11"/>
      <c r="E40" s="11"/>
      <c r="F40" s="11"/>
      <c r="G40" s="31"/>
      <c r="H40" s="12"/>
      <c r="I40" s="33"/>
      <c r="K40" s="1" t="s">
        <v>124</v>
      </c>
    </row>
    <row r="41" spans="1:12" ht="12" thickBot="1" x14ac:dyDescent="0.25">
      <c r="A41" s="32"/>
      <c r="B41" s="10"/>
      <c r="C41" s="4"/>
      <c r="D41" s="11"/>
      <c r="E41" s="11"/>
      <c r="F41" s="11"/>
      <c r="G41" s="30" t="s">
        <v>63</v>
      </c>
      <c r="H41" s="63">
        <f>H17+H24+H39</f>
        <v>617782.28221423156</v>
      </c>
      <c r="I41" s="33"/>
      <c r="K41" s="97" t="s">
        <v>123</v>
      </c>
      <c r="L41" s="100">
        <v>1.014</v>
      </c>
    </row>
    <row r="42" spans="1:12" x14ac:dyDescent="0.2">
      <c r="A42" s="32"/>
      <c r="B42" s="10"/>
      <c r="C42" s="4"/>
      <c r="D42" s="11"/>
      <c r="E42" s="11"/>
      <c r="F42" s="11"/>
      <c r="G42" s="11"/>
      <c r="H42" s="63"/>
      <c r="I42" s="33"/>
    </row>
    <row r="43" spans="1:12" x14ac:dyDescent="0.2">
      <c r="A43" s="32"/>
      <c r="B43" s="10"/>
      <c r="C43" s="4"/>
      <c r="D43" s="69">
        <v>0</v>
      </c>
      <c r="E43" s="11"/>
      <c r="F43" s="11"/>
      <c r="G43" s="28" t="s">
        <v>64</v>
      </c>
      <c r="H43" s="63">
        <f>D43*H41</f>
        <v>0</v>
      </c>
      <c r="I43" s="33"/>
    </row>
    <row r="44" spans="1:12" x14ac:dyDescent="0.2">
      <c r="A44" s="32"/>
      <c r="B44" s="10"/>
      <c r="C44" s="4"/>
      <c r="D44" s="11"/>
      <c r="E44" s="11"/>
      <c r="F44" s="11"/>
      <c r="G44" s="28" t="s">
        <v>65</v>
      </c>
      <c r="H44" s="63">
        <f>H41+H43</f>
        <v>617782.28221423156</v>
      </c>
      <c r="I44" s="33"/>
    </row>
    <row r="45" spans="1:12" x14ac:dyDescent="0.2">
      <c r="A45" s="32"/>
      <c r="B45" s="10"/>
      <c r="C45" s="4"/>
      <c r="D45" s="69">
        <v>0</v>
      </c>
      <c r="E45" s="11"/>
      <c r="F45" s="11"/>
      <c r="G45" s="28" t="s">
        <v>66</v>
      </c>
      <c r="H45" s="63">
        <f>D45*H44</f>
        <v>0</v>
      </c>
      <c r="I45" s="33"/>
    </row>
    <row r="46" spans="1:12" x14ac:dyDescent="0.2">
      <c r="A46" s="32"/>
      <c r="B46" s="10"/>
      <c r="C46" s="4"/>
      <c r="D46" s="11"/>
      <c r="E46" s="11"/>
      <c r="F46" s="11"/>
      <c r="G46" s="11"/>
      <c r="H46" s="12"/>
      <c r="I46" s="33"/>
    </row>
    <row r="47" spans="1:12" x14ac:dyDescent="0.2">
      <c r="A47" s="32"/>
      <c r="B47" s="10"/>
      <c r="C47" s="4"/>
      <c r="D47" s="11"/>
      <c r="E47" s="11"/>
      <c r="F47" s="11"/>
      <c r="H47" s="12"/>
      <c r="I47" s="33"/>
    </row>
    <row r="48" spans="1:12" x14ac:dyDescent="0.2">
      <c r="A48" s="32"/>
      <c r="B48" s="10"/>
      <c r="C48" s="4"/>
      <c r="D48" s="11"/>
      <c r="E48" s="11"/>
      <c r="F48" s="40"/>
      <c r="G48" s="41" t="s">
        <v>67</v>
      </c>
      <c r="H48" s="72">
        <f>(H44+H45)*L41</f>
        <v>626431.23416523077</v>
      </c>
      <c r="I48" s="33"/>
    </row>
    <row r="49" spans="1:9" x14ac:dyDescent="0.2">
      <c r="A49" s="32"/>
      <c r="B49" s="10"/>
      <c r="C49" s="4"/>
      <c r="D49" s="11"/>
      <c r="E49" s="11"/>
      <c r="F49" s="40"/>
      <c r="G49" s="41" t="s">
        <v>68</v>
      </c>
      <c r="H49" s="72">
        <f>(H17+H24+(H39*H10))</f>
        <v>615249.89225217572</v>
      </c>
      <c r="I49" s="33"/>
    </row>
    <row r="50" spans="1:9" ht="12" thickBot="1" x14ac:dyDescent="0.25">
      <c r="A50" s="37"/>
      <c r="B50" s="38"/>
      <c r="C50" s="38"/>
      <c r="D50" s="38"/>
      <c r="E50" s="38"/>
      <c r="F50" s="38"/>
      <c r="G50" s="38"/>
      <c r="H50" s="38"/>
      <c r="I50" s="39"/>
    </row>
  </sheetData>
  <mergeCells count="1">
    <mergeCell ref="A7:I7"/>
  </mergeCells>
  <pageMargins left="0.7" right="0.7" top="0.75" bottom="0.75" header="0.3" footer="0.3"/>
  <pageSetup scale="9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80195E-8C96-47F7-AB3F-581C7C53E703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8"/>
  <sheetViews>
    <sheetView view="pageBreakPreview" zoomScaleNormal="100" zoomScaleSheetLayoutView="100" workbookViewId="0">
      <selection activeCell="J11" sqref="J11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126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23</v>
      </c>
      <c r="G8" s="23" t="s">
        <v>24</v>
      </c>
      <c r="H8" s="25">
        <v>18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56"/>
      <c r="C14" s="111" t="s">
        <v>106</v>
      </c>
      <c r="D14" s="102" t="s">
        <v>36</v>
      </c>
      <c r="E14" s="102">
        <v>2.2000000000000002</v>
      </c>
      <c r="F14" s="102">
        <v>0</v>
      </c>
      <c r="G14" s="105">
        <f>290*$F$9</f>
        <v>259497.80000000002</v>
      </c>
      <c r="H14" s="106">
        <f>E14*(1+F14)*G14</f>
        <v>570895.16</v>
      </c>
      <c r="I14" s="36"/>
      <c r="J14" s="124"/>
    </row>
    <row r="15" spans="1:11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570895.16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</f>
        <v>570895.16</v>
      </c>
      <c r="I16" s="36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  <c r="M18" s="8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3" t="s">
        <v>127</v>
      </c>
      <c r="D20" s="21" t="s">
        <v>128</v>
      </c>
      <c r="E20" s="21">
        <v>1</v>
      </c>
      <c r="F20" s="21">
        <f>0.05*H16</f>
        <v>28544.758000000002</v>
      </c>
      <c r="G20" s="21"/>
      <c r="H20" s="22">
        <f>E20*F20</f>
        <v>28544.758000000002</v>
      </c>
      <c r="I20" s="33"/>
      <c r="K20" s="9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28544.758000000002</v>
      </c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1585.819888888889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17"/>
      <c r="C26" s="53" t="s">
        <v>117</v>
      </c>
      <c r="D26" s="21" t="s">
        <v>118</v>
      </c>
      <c r="E26" s="20">
        <v>0.2</v>
      </c>
      <c r="F26" s="18">
        <v>40000</v>
      </c>
      <c r="G26" s="21"/>
      <c r="H26" s="18">
        <f>E26*F26</f>
        <v>8000</v>
      </c>
      <c r="I26" s="33"/>
    </row>
    <row r="27" spans="1:13" x14ac:dyDescent="0.2">
      <c r="A27" s="32"/>
      <c r="B27" s="17"/>
      <c r="C27" s="53" t="s">
        <v>91</v>
      </c>
      <c r="D27" s="21" t="s">
        <v>118</v>
      </c>
      <c r="E27" s="20">
        <v>0.25</v>
      </c>
      <c r="F27" s="18">
        <v>35000</v>
      </c>
      <c r="G27" s="21"/>
      <c r="H27" s="18">
        <f t="shared" ref="H27:H29" si="0">E27*F27</f>
        <v>8750</v>
      </c>
      <c r="I27" s="33"/>
    </row>
    <row r="28" spans="1:13" x14ac:dyDescent="0.2">
      <c r="A28" s="32"/>
      <c r="B28" s="17"/>
      <c r="C28" s="53" t="s">
        <v>129</v>
      </c>
      <c r="D28" s="21" t="s">
        <v>118</v>
      </c>
      <c r="E28" s="20">
        <v>1</v>
      </c>
      <c r="F28" s="18">
        <v>30000</v>
      </c>
      <c r="G28" s="21"/>
      <c r="H28" s="18">
        <f t="shared" si="0"/>
        <v>30000</v>
      </c>
      <c r="I28" s="33"/>
    </row>
    <row r="29" spans="1:13" x14ac:dyDescent="0.2">
      <c r="A29" s="32"/>
      <c r="B29" s="17"/>
      <c r="C29" s="53" t="s">
        <v>57</v>
      </c>
      <c r="D29" s="21" t="s">
        <v>118</v>
      </c>
      <c r="E29" s="20">
        <v>1</v>
      </c>
      <c r="F29" s="18">
        <v>25000</v>
      </c>
      <c r="G29" s="21"/>
      <c r="H29" s="18">
        <f t="shared" si="0"/>
        <v>25000</v>
      </c>
      <c r="I29" s="33"/>
    </row>
    <row r="30" spans="1:13" x14ac:dyDescent="0.2">
      <c r="A30" s="32"/>
      <c r="B30" s="10"/>
      <c r="C30" s="4"/>
      <c r="D30" s="11"/>
      <c r="E30" s="11"/>
      <c r="F30" s="11"/>
      <c r="G30" s="30" t="s">
        <v>58</v>
      </c>
      <c r="H30" s="63">
        <f>SUM(H26:H29)</f>
        <v>71750</v>
      </c>
      <c r="I30" s="33"/>
    </row>
    <row r="31" spans="1:13" x14ac:dyDescent="0.2">
      <c r="A31" s="32"/>
      <c r="B31" s="10"/>
      <c r="C31" s="4"/>
      <c r="D31" s="11"/>
      <c r="E31" s="11"/>
      <c r="F31" s="11"/>
      <c r="G31" s="31"/>
      <c r="H31" s="12"/>
      <c r="I31" s="33"/>
    </row>
    <row r="32" spans="1:13" x14ac:dyDescent="0.2">
      <c r="A32" s="32"/>
      <c r="B32" s="10"/>
      <c r="C32" s="4"/>
      <c r="D32" s="11"/>
      <c r="E32" s="11"/>
      <c r="F32" s="11"/>
      <c r="G32" s="30" t="s">
        <v>59</v>
      </c>
      <c r="H32" s="63">
        <f>H30</f>
        <v>71750</v>
      </c>
      <c r="I32" s="33"/>
    </row>
    <row r="33" spans="1:9" x14ac:dyDescent="0.2">
      <c r="A33" s="32"/>
      <c r="B33" s="10"/>
      <c r="C33" s="4"/>
      <c r="D33" s="11"/>
      <c r="E33" s="11"/>
      <c r="F33" s="11"/>
      <c r="G33" s="30" t="s">
        <v>60</v>
      </c>
      <c r="H33" s="70">
        <f>H32*E33</f>
        <v>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0" t="s">
        <v>61</v>
      </c>
      <c r="H34" s="63">
        <f>H32*E34</f>
        <v>0</v>
      </c>
      <c r="I34" s="33"/>
    </row>
    <row r="35" spans="1:9" x14ac:dyDescent="0.2">
      <c r="A35" s="32"/>
      <c r="B35" s="10"/>
      <c r="C35" s="4"/>
      <c r="D35" s="11"/>
      <c r="E35" s="11"/>
      <c r="F35" s="11"/>
      <c r="G35" s="31"/>
      <c r="H35" s="12"/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58</v>
      </c>
      <c r="H36" s="63">
        <f>H32+H33+H34</f>
        <v>71750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0" t="s">
        <v>62</v>
      </c>
      <c r="H37" s="71">
        <f>H36/$H$8</f>
        <v>3986.1111111111113</v>
      </c>
      <c r="I37" s="33"/>
    </row>
    <row r="38" spans="1:9" x14ac:dyDescent="0.2">
      <c r="A38" s="32"/>
      <c r="B38" s="10"/>
      <c r="C38" s="4"/>
      <c r="D38" s="11"/>
      <c r="E38" s="11"/>
      <c r="F38" s="11"/>
      <c r="G38" s="31"/>
      <c r="H38" s="12"/>
      <c r="I38" s="33"/>
    </row>
    <row r="39" spans="1:9" x14ac:dyDescent="0.2">
      <c r="A39" s="32"/>
      <c r="B39" s="10"/>
      <c r="C39" s="4"/>
      <c r="D39" s="11"/>
      <c r="E39" s="11"/>
      <c r="F39" s="11"/>
      <c r="G39" s="30" t="s">
        <v>63</v>
      </c>
      <c r="H39" s="63">
        <f>H16+H22+H37</f>
        <v>576467.09100000001</v>
      </c>
      <c r="I39" s="33"/>
    </row>
    <row r="40" spans="1:9" x14ac:dyDescent="0.2">
      <c r="A40" s="32"/>
      <c r="B40" s="10"/>
      <c r="C40" s="4"/>
      <c r="D40" s="11"/>
      <c r="E40" s="11"/>
      <c r="F40" s="11"/>
      <c r="G40" s="11"/>
      <c r="H40" s="63"/>
      <c r="I40" s="33"/>
    </row>
    <row r="41" spans="1:9" x14ac:dyDescent="0.2">
      <c r="A41" s="32"/>
      <c r="B41" s="10"/>
      <c r="C41" s="4"/>
      <c r="D41" s="11"/>
      <c r="E41" s="11"/>
      <c r="F41" s="11"/>
      <c r="G41" s="28" t="s">
        <v>64</v>
      </c>
      <c r="H41" s="63">
        <f>D41*H39</f>
        <v>0</v>
      </c>
      <c r="I41" s="33"/>
    </row>
    <row r="42" spans="1:9" x14ac:dyDescent="0.2">
      <c r="A42" s="32"/>
      <c r="B42" s="10"/>
      <c r="C42" s="4"/>
      <c r="D42" s="11"/>
      <c r="E42" s="11"/>
      <c r="F42" s="11"/>
      <c r="G42" s="28" t="s">
        <v>65</v>
      </c>
      <c r="H42" s="63">
        <f>H39+H41</f>
        <v>576467.09100000001</v>
      </c>
      <c r="I42" s="33"/>
    </row>
    <row r="43" spans="1:9" x14ac:dyDescent="0.2">
      <c r="A43" s="32"/>
      <c r="B43" s="10"/>
      <c r="C43" s="4"/>
      <c r="D43" s="11"/>
      <c r="E43" s="11"/>
      <c r="F43" s="11"/>
      <c r="G43" s="28" t="s">
        <v>66</v>
      </c>
      <c r="H43" s="63">
        <f>D43*H42</f>
        <v>0</v>
      </c>
      <c r="I43" s="33"/>
    </row>
    <row r="44" spans="1:9" x14ac:dyDescent="0.2">
      <c r="A44" s="32"/>
      <c r="B44" s="10"/>
      <c r="C44" s="4"/>
      <c r="D44" s="11"/>
      <c r="E44" s="11"/>
      <c r="F44" s="11"/>
      <c r="G44" s="11"/>
      <c r="H44" s="12"/>
      <c r="I44" s="33"/>
    </row>
    <row r="45" spans="1:9" x14ac:dyDescent="0.2">
      <c r="A45" s="32"/>
      <c r="B45" s="10"/>
      <c r="C45" s="4"/>
      <c r="D45" s="11"/>
      <c r="E45" s="11"/>
      <c r="F45" s="11"/>
      <c r="H45" s="12"/>
      <c r="I45" s="33"/>
    </row>
    <row r="46" spans="1:9" x14ac:dyDescent="0.2">
      <c r="A46" s="32"/>
      <c r="B46" s="10"/>
      <c r="C46" s="4"/>
      <c r="D46" s="11"/>
      <c r="E46" s="11"/>
      <c r="F46" s="40"/>
      <c r="G46" s="41" t="s">
        <v>67</v>
      </c>
      <c r="H46" s="72">
        <f>H42+H43</f>
        <v>576467.09100000001</v>
      </c>
      <c r="I46" s="33"/>
    </row>
    <row r="47" spans="1:9" x14ac:dyDescent="0.2">
      <c r="A47" s="32"/>
      <c r="B47" s="10"/>
      <c r="C47" s="4"/>
      <c r="D47" s="11"/>
      <c r="E47" s="11"/>
      <c r="F47" s="40"/>
      <c r="G47" s="41" t="s">
        <v>68</v>
      </c>
      <c r="H47" s="72">
        <f>(H16+H22+(H37*H10))</f>
        <v>575302.15577329346</v>
      </c>
      <c r="I47" s="33"/>
    </row>
    <row r="48" spans="1:9" ht="12" thickBot="1" x14ac:dyDescent="0.25">
      <c r="A48" s="37"/>
      <c r="B48" s="38"/>
      <c r="C48" s="38"/>
      <c r="D48" s="38"/>
      <c r="E48" s="38"/>
      <c r="F48" s="38"/>
      <c r="G48" s="38"/>
      <c r="H48" s="38"/>
      <c r="I48" s="39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3529B8B-58A9-4723-AB0C-196A8FDFC1E5}">
          <x14:formula1>
            <xm:f>'Factor Socioeconómico'!$C$3:$C$17</xm:f>
          </x14:formula1>
          <xm:sqref>F10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91F35-0E37-444D-A4F6-9633DA91B196}">
  <dimension ref="A1:M47"/>
  <sheetViews>
    <sheetView view="pageBreakPreview" zoomScaleNormal="100" zoomScaleSheetLayoutView="100" workbookViewId="0">
      <selection activeCell="O26" sqref="O26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3"/>
      <c r="B1" s="44"/>
      <c r="C1" s="44"/>
      <c r="D1" s="44"/>
      <c r="E1" s="44"/>
      <c r="F1" s="44"/>
      <c r="G1" s="44"/>
      <c r="H1" s="44"/>
      <c r="I1" s="45"/>
      <c r="J1" s="2"/>
      <c r="K1" s="3"/>
    </row>
    <row r="2" spans="1:11" x14ac:dyDescent="0.2">
      <c r="A2" s="59" t="s">
        <v>20</v>
      </c>
      <c r="B2" s="47"/>
      <c r="C2" s="47"/>
      <c r="D2" s="47"/>
      <c r="E2" s="47"/>
      <c r="F2" s="47"/>
      <c r="G2" s="47"/>
      <c r="H2" s="47"/>
      <c r="I2" s="48"/>
      <c r="J2" s="2"/>
      <c r="K2" s="3"/>
    </row>
    <row r="3" spans="1:11" x14ac:dyDescent="0.2">
      <c r="A3" s="46">
        <f>'RESUMEN SIST. FV On Grid'!A3</f>
        <v>0</v>
      </c>
      <c r="B3" s="47"/>
      <c r="C3" s="47"/>
      <c r="D3" s="47"/>
      <c r="E3" s="47"/>
      <c r="F3" s="47"/>
      <c r="G3" s="47"/>
      <c r="H3" s="47"/>
      <c r="I3" s="48"/>
    </row>
    <row r="4" spans="1:11" x14ac:dyDescent="0.2">
      <c r="A4" s="49" t="str">
        <f>'RESUMEN SIST. FV On Grid'!A4</f>
        <v>Version: 1.0</v>
      </c>
      <c r="B4" s="47"/>
      <c r="C4" s="47"/>
      <c r="D4" s="47"/>
      <c r="E4" s="47"/>
      <c r="F4" s="47"/>
      <c r="G4" s="47"/>
      <c r="H4" s="47"/>
      <c r="I4" s="48"/>
    </row>
    <row r="5" spans="1:11" x14ac:dyDescent="0.2">
      <c r="A5" s="49"/>
      <c r="B5" s="47"/>
      <c r="C5" s="47"/>
      <c r="D5" s="47"/>
      <c r="E5" s="47"/>
      <c r="F5" s="47"/>
      <c r="G5" s="47"/>
      <c r="H5" s="47"/>
      <c r="I5" s="48"/>
    </row>
    <row r="6" spans="1:11" x14ac:dyDescent="0.2">
      <c r="A6" s="50"/>
      <c r="B6" s="51"/>
      <c r="C6" s="51"/>
      <c r="D6" s="51"/>
      <c r="E6" s="51"/>
      <c r="F6" s="51"/>
      <c r="G6" s="51"/>
      <c r="H6" s="51"/>
      <c r="I6" s="52"/>
    </row>
    <row r="7" spans="1:11" x14ac:dyDescent="0.2">
      <c r="A7" s="202" t="s">
        <v>130</v>
      </c>
      <c r="B7" s="203"/>
      <c r="C7" s="203"/>
      <c r="D7" s="203"/>
      <c r="E7" s="203"/>
      <c r="F7" s="203"/>
      <c r="G7" s="203"/>
      <c r="H7" s="203"/>
      <c r="I7" s="204"/>
    </row>
    <row r="8" spans="1:11" x14ac:dyDescent="0.2">
      <c r="A8" s="35"/>
      <c r="B8" s="4"/>
      <c r="C8" s="4"/>
      <c r="D8" s="5"/>
      <c r="E8" s="23" t="s">
        <v>22</v>
      </c>
      <c r="F8" s="24" t="s">
        <v>131</v>
      </c>
      <c r="G8" s="23" t="s">
        <v>24</v>
      </c>
      <c r="H8" s="25">
        <v>8</v>
      </c>
      <c r="I8" s="36"/>
    </row>
    <row r="9" spans="1:11" x14ac:dyDescent="0.2">
      <c r="A9" s="64"/>
      <c r="B9" s="4"/>
      <c r="C9" s="4"/>
      <c r="D9" s="5"/>
      <c r="E9" s="23" t="s">
        <v>3</v>
      </c>
      <c r="F9" s="150">
        <f>'RESUMEN SIST. FV On Grid'!F8</f>
        <v>894.82</v>
      </c>
      <c r="G9" s="23" t="s">
        <v>4</v>
      </c>
      <c r="H9" s="150">
        <f>'RESUMEN SIST. FV On Grid'!H8</f>
        <v>34817</v>
      </c>
      <c r="I9" s="65"/>
    </row>
    <row r="10" spans="1:11" x14ac:dyDescent="0.2">
      <c r="A10" s="64"/>
      <c r="B10" s="4"/>
      <c r="C10" s="4"/>
      <c r="D10" s="5"/>
      <c r="E10" s="23" t="s">
        <v>5</v>
      </c>
      <c r="F10" s="150" t="str">
        <f>'RESUMEN SIST. FV On Grid'!F9</f>
        <v>Los Lagos</v>
      </c>
      <c r="G10" s="23" t="s">
        <v>7</v>
      </c>
      <c r="H10" s="150">
        <f>'RESUMEN SIST. FV On Grid'!H9</f>
        <v>0.70775144138372836</v>
      </c>
      <c r="I10" s="65"/>
    </row>
    <row r="11" spans="1:11" x14ac:dyDescent="0.2">
      <c r="A11" s="35"/>
      <c r="B11" s="5"/>
      <c r="C11" s="5"/>
      <c r="D11" s="5"/>
      <c r="E11" s="23"/>
      <c r="F11" s="24"/>
      <c r="G11" s="23"/>
      <c r="H11" s="85"/>
      <c r="I11" s="36"/>
    </row>
    <row r="12" spans="1:11" x14ac:dyDescent="0.2">
      <c r="A12" s="32" t="s">
        <v>26</v>
      </c>
      <c r="B12" s="4"/>
      <c r="C12" s="4"/>
      <c r="D12" s="4"/>
      <c r="E12" s="4"/>
      <c r="F12" s="4"/>
      <c r="G12" s="4"/>
      <c r="H12" s="4"/>
      <c r="I12" s="36"/>
      <c r="J12" s="6"/>
    </row>
    <row r="13" spans="1:11" x14ac:dyDescent="0.2">
      <c r="A13" s="34"/>
      <c r="B13" s="7" t="s">
        <v>27</v>
      </c>
      <c r="C13" s="7" t="s">
        <v>28</v>
      </c>
      <c r="D13" s="7" t="s">
        <v>11</v>
      </c>
      <c r="E13" s="7" t="s">
        <v>29</v>
      </c>
      <c r="F13" s="7" t="s">
        <v>30</v>
      </c>
      <c r="G13" s="7" t="s">
        <v>31</v>
      </c>
      <c r="H13" s="7" t="s">
        <v>32</v>
      </c>
      <c r="I13" s="36"/>
      <c r="J13" s="122"/>
    </row>
    <row r="14" spans="1:11" x14ac:dyDescent="0.2">
      <c r="A14" s="34"/>
      <c r="B14" s="7"/>
      <c r="C14" s="111" t="s">
        <v>132</v>
      </c>
      <c r="D14" s="102" t="s">
        <v>36</v>
      </c>
      <c r="E14" s="102">
        <v>1</v>
      </c>
      <c r="F14" s="102">
        <v>0</v>
      </c>
      <c r="G14" s="105">
        <f>144029</f>
        <v>144029</v>
      </c>
      <c r="H14" s="106">
        <f>E14*(1+F14)*G14</f>
        <v>144029</v>
      </c>
      <c r="I14" s="36"/>
      <c r="J14" s="122"/>
    </row>
    <row r="15" spans="1:11" x14ac:dyDescent="0.2">
      <c r="A15" s="34"/>
      <c r="B15" s="13"/>
      <c r="C15" s="14"/>
      <c r="D15" s="26"/>
      <c r="E15" s="26"/>
      <c r="F15" s="26"/>
      <c r="G15" s="29" t="s">
        <v>42</v>
      </c>
      <c r="H15" s="16">
        <f>SUM(H14)</f>
        <v>144029</v>
      </c>
      <c r="I15" s="36"/>
    </row>
    <row r="16" spans="1:11" x14ac:dyDescent="0.2">
      <c r="A16" s="34"/>
      <c r="B16" s="13"/>
      <c r="C16" s="14"/>
      <c r="D16" s="26"/>
      <c r="E16" s="26"/>
      <c r="F16" s="26"/>
      <c r="G16" s="29" t="s">
        <v>43</v>
      </c>
      <c r="H16" s="16">
        <f>H15</f>
        <v>144029</v>
      </c>
      <c r="I16" s="36"/>
    </row>
    <row r="17" spans="1:13" x14ac:dyDescent="0.2">
      <c r="A17" s="35"/>
      <c r="B17" s="5"/>
      <c r="C17" s="5"/>
      <c r="D17" s="5"/>
      <c r="E17" s="5"/>
      <c r="F17" s="5"/>
      <c r="G17" s="5"/>
      <c r="H17" s="5"/>
      <c r="I17" s="36"/>
      <c r="K17" s="92"/>
    </row>
    <row r="18" spans="1:13" x14ac:dyDescent="0.2">
      <c r="A18" s="32" t="s">
        <v>44</v>
      </c>
      <c r="B18" s="4"/>
      <c r="C18" s="4"/>
      <c r="D18" s="4"/>
      <c r="E18" s="4"/>
      <c r="F18" s="4"/>
      <c r="G18" s="4"/>
      <c r="H18" s="4"/>
      <c r="I18" s="33"/>
      <c r="M18" s="8"/>
    </row>
    <row r="19" spans="1:13" x14ac:dyDescent="0.2">
      <c r="A19" s="34"/>
      <c r="B19" s="7" t="s">
        <v>27</v>
      </c>
      <c r="C19" s="7" t="s">
        <v>28</v>
      </c>
      <c r="D19" s="7" t="s">
        <v>11</v>
      </c>
      <c r="E19" s="7" t="s">
        <v>29</v>
      </c>
      <c r="F19" s="7" t="s">
        <v>31</v>
      </c>
      <c r="G19" s="7" t="s">
        <v>45</v>
      </c>
      <c r="H19" s="7" t="s">
        <v>46</v>
      </c>
      <c r="I19" s="33"/>
    </row>
    <row r="20" spans="1:13" x14ac:dyDescent="0.2">
      <c r="A20" s="34"/>
      <c r="B20" s="17"/>
      <c r="C20" s="53" t="s">
        <v>127</v>
      </c>
      <c r="D20" s="21" t="s">
        <v>128</v>
      </c>
      <c r="E20" s="21">
        <v>1</v>
      </c>
      <c r="F20" s="21">
        <f>0.05*H16</f>
        <v>7201.4500000000007</v>
      </c>
      <c r="G20" s="21"/>
      <c r="H20" s="22">
        <f>E20*F20</f>
        <v>7201.4500000000007</v>
      </c>
      <c r="I20" s="33"/>
      <c r="K20" s="9"/>
    </row>
    <row r="21" spans="1:13" x14ac:dyDescent="0.2">
      <c r="A21" s="34"/>
      <c r="B21" s="13"/>
      <c r="C21" s="14"/>
      <c r="D21" s="15"/>
      <c r="E21" s="15"/>
      <c r="F21" s="15"/>
      <c r="G21" s="30" t="s">
        <v>49</v>
      </c>
      <c r="H21" s="27">
        <f>SUM(H20)</f>
        <v>7201.4500000000007</v>
      </c>
      <c r="I21" s="33"/>
      <c r="K21" s="9"/>
    </row>
    <row r="22" spans="1:13" x14ac:dyDescent="0.2">
      <c r="A22" s="34"/>
      <c r="B22" s="13"/>
      <c r="C22" s="14"/>
      <c r="D22" s="15"/>
      <c r="E22" s="15"/>
      <c r="F22" s="15"/>
      <c r="G22" s="30" t="s">
        <v>50</v>
      </c>
      <c r="H22" s="27">
        <f>H21/H8</f>
        <v>900.18125000000009</v>
      </c>
      <c r="I22" s="33"/>
      <c r="K22" s="9"/>
    </row>
    <row r="23" spans="1:13" x14ac:dyDescent="0.2">
      <c r="A23" s="32"/>
      <c r="B23" s="10"/>
      <c r="C23" s="4"/>
      <c r="D23" s="11"/>
      <c r="E23" s="11"/>
      <c r="F23" s="11"/>
      <c r="G23" s="11"/>
      <c r="H23" s="12"/>
      <c r="I23" s="33"/>
    </row>
    <row r="24" spans="1:13" x14ac:dyDescent="0.2">
      <c r="A24" s="32" t="s">
        <v>51</v>
      </c>
      <c r="B24" s="10"/>
      <c r="C24" s="4"/>
      <c r="D24" s="11"/>
      <c r="E24" s="11"/>
      <c r="F24" s="11"/>
      <c r="G24" s="11"/>
      <c r="H24" s="12"/>
      <c r="I24" s="33"/>
    </row>
    <row r="25" spans="1:13" x14ac:dyDescent="0.2">
      <c r="A25" s="32"/>
      <c r="B25" s="7" t="s">
        <v>27</v>
      </c>
      <c r="C25" s="7" t="s">
        <v>28</v>
      </c>
      <c r="D25" s="7" t="s">
        <v>11</v>
      </c>
      <c r="E25" s="7" t="s">
        <v>29</v>
      </c>
      <c r="F25" s="7" t="s">
        <v>52</v>
      </c>
      <c r="G25" s="7"/>
      <c r="H25" s="7" t="s">
        <v>46</v>
      </c>
      <c r="I25" s="33"/>
    </row>
    <row r="26" spans="1:13" x14ac:dyDescent="0.2">
      <c r="A26" s="32"/>
      <c r="B26" s="7"/>
      <c r="C26" s="53" t="s">
        <v>117</v>
      </c>
      <c r="D26" s="21" t="s">
        <v>54</v>
      </c>
      <c r="E26" s="54">
        <v>0.25</v>
      </c>
      <c r="F26" s="81">
        <v>40000</v>
      </c>
      <c r="G26" s="7"/>
      <c r="H26" s="87">
        <f>E26*F26</f>
        <v>10000</v>
      </c>
      <c r="I26" s="33"/>
    </row>
    <row r="27" spans="1:13" x14ac:dyDescent="0.2">
      <c r="A27" s="32"/>
      <c r="B27" s="17"/>
      <c r="C27" s="53" t="s">
        <v>91</v>
      </c>
      <c r="D27" s="21" t="s">
        <v>54</v>
      </c>
      <c r="E27" s="54">
        <v>1</v>
      </c>
      <c r="F27" s="81">
        <v>35000</v>
      </c>
      <c r="G27" s="21"/>
      <c r="H27" s="87">
        <f t="shared" ref="H27:H28" si="0">E27*F27</f>
        <v>35000</v>
      </c>
      <c r="I27" s="33"/>
    </row>
    <row r="28" spans="1:13" x14ac:dyDescent="0.2">
      <c r="A28" s="32"/>
      <c r="B28" s="17"/>
      <c r="C28" s="53" t="s">
        <v>57</v>
      </c>
      <c r="D28" s="21" t="s">
        <v>54</v>
      </c>
      <c r="E28" s="54">
        <v>2</v>
      </c>
      <c r="F28" s="18">
        <v>25000</v>
      </c>
      <c r="G28" s="21"/>
      <c r="H28" s="87">
        <f t="shared" si="0"/>
        <v>50000</v>
      </c>
      <c r="I28" s="33"/>
    </row>
    <row r="29" spans="1:13" x14ac:dyDescent="0.2">
      <c r="A29" s="32"/>
      <c r="B29" s="10"/>
      <c r="C29" s="4"/>
      <c r="D29" s="11"/>
      <c r="E29" s="11"/>
      <c r="F29" s="11"/>
      <c r="G29" s="30" t="s">
        <v>58</v>
      </c>
      <c r="H29" s="88">
        <f>SUM(H26:H28)</f>
        <v>95000</v>
      </c>
      <c r="I29" s="33"/>
    </row>
    <row r="30" spans="1:13" x14ac:dyDescent="0.2">
      <c r="A30" s="32"/>
      <c r="B30" s="10"/>
      <c r="C30" s="4"/>
      <c r="D30" s="11"/>
      <c r="E30" s="11"/>
      <c r="F30" s="11"/>
      <c r="G30" s="31"/>
      <c r="H30" s="12"/>
      <c r="I30" s="33"/>
    </row>
    <row r="31" spans="1:13" x14ac:dyDescent="0.2">
      <c r="A31" s="32"/>
      <c r="B31" s="10"/>
      <c r="C31" s="4"/>
      <c r="D31" s="11"/>
      <c r="E31" s="11"/>
      <c r="F31" s="11"/>
      <c r="G31" s="30" t="s">
        <v>59</v>
      </c>
      <c r="H31" s="63">
        <f>H29</f>
        <v>95000</v>
      </c>
      <c r="I31" s="33"/>
    </row>
    <row r="32" spans="1:13" x14ac:dyDescent="0.2">
      <c r="A32" s="32"/>
      <c r="B32" s="10"/>
      <c r="C32" s="4"/>
      <c r="D32" s="11"/>
      <c r="E32" s="69">
        <v>0.56999999999999995</v>
      </c>
      <c r="F32" s="11"/>
      <c r="G32" s="30" t="s">
        <v>60</v>
      </c>
      <c r="H32" s="70">
        <f>H31*E32</f>
        <v>54149.999999999993</v>
      </c>
      <c r="I32" s="33"/>
    </row>
    <row r="33" spans="1:9" x14ac:dyDescent="0.2">
      <c r="A33" s="32"/>
      <c r="B33" s="10"/>
      <c r="C33" s="4"/>
      <c r="D33" s="11"/>
      <c r="E33" s="69">
        <v>0</v>
      </c>
      <c r="F33" s="11"/>
      <c r="G33" s="30" t="s">
        <v>61</v>
      </c>
      <c r="H33" s="63">
        <f>H31*E33</f>
        <v>0</v>
      </c>
      <c r="I33" s="33"/>
    </row>
    <row r="34" spans="1:9" x14ac:dyDescent="0.2">
      <c r="A34" s="32"/>
      <c r="B34" s="10"/>
      <c r="C34" s="4"/>
      <c r="D34" s="11"/>
      <c r="E34" s="11"/>
      <c r="F34" s="11"/>
      <c r="G34" s="31"/>
      <c r="H34" s="12"/>
      <c r="I34" s="33"/>
    </row>
    <row r="35" spans="1:9" x14ac:dyDescent="0.2">
      <c r="A35" s="32"/>
      <c r="B35" s="10"/>
      <c r="C35" s="4"/>
      <c r="D35" s="11"/>
      <c r="E35" s="11"/>
      <c r="F35" s="11"/>
      <c r="G35" s="30" t="s">
        <v>58</v>
      </c>
      <c r="H35" s="63">
        <f>H31+H32+H33</f>
        <v>149150</v>
      </c>
      <c r="I35" s="33"/>
    </row>
    <row r="36" spans="1:9" x14ac:dyDescent="0.2">
      <c r="A36" s="32"/>
      <c r="B36" s="10"/>
      <c r="C36" s="4"/>
      <c r="D36" s="11"/>
      <c r="E36" s="11"/>
      <c r="F36" s="11"/>
      <c r="G36" s="30" t="s">
        <v>62</v>
      </c>
      <c r="H36" s="71">
        <f>H35/$H$8</f>
        <v>18643.75</v>
      </c>
      <c r="I36" s="33"/>
    </row>
    <row r="37" spans="1:9" x14ac:dyDescent="0.2">
      <c r="A37" s="32"/>
      <c r="B37" s="10"/>
      <c r="C37" s="4"/>
      <c r="D37" s="11"/>
      <c r="E37" s="11"/>
      <c r="F37" s="11"/>
      <c r="G37" s="31"/>
      <c r="H37" s="12"/>
      <c r="I37" s="33"/>
    </row>
    <row r="38" spans="1:9" x14ac:dyDescent="0.2">
      <c r="A38" s="32"/>
      <c r="B38" s="10"/>
      <c r="C38" s="4"/>
      <c r="D38" s="11"/>
      <c r="E38" s="11"/>
      <c r="F38" s="11"/>
      <c r="G38" s="30" t="s">
        <v>63</v>
      </c>
      <c r="H38" s="63">
        <f>H16+H22+H36</f>
        <v>163572.93124999999</v>
      </c>
      <c r="I38" s="33"/>
    </row>
    <row r="39" spans="1:9" x14ac:dyDescent="0.2">
      <c r="A39" s="32"/>
      <c r="B39" s="10"/>
      <c r="C39" s="4"/>
      <c r="D39" s="11"/>
      <c r="E39" s="11"/>
      <c r="F39" s="11"/>
      <c r="G39" s="11"/>
      <c r="H39" s="63"/>
      <c r="I39" s="33"/>
    </row>
    <row r="40" spans="1:9" x14ac:dyDescent="0.2">
      <c r="A40" s="32"/>
      <c r="B40" s="10"/>
      <c r="C40" s="4"/>
      <c r="D40" s="69">
        <v>0</v>
      </c>
      <c r="E40" s="11"/>
      <c r="F40" s="11"/>
      <c r="G40" s="28" t="s">
        <v>64</v>
      </c>
      <c r="H40" s="63">
        <f>D40*H38</f>
        <v>0</v>
      </c>
      <c r="I40" s="33"/>
    </row>
    <row r="41" spans="1:9" x14ac:dyDescent="0.2">
      <c r="A41" s="32"/>
      <c r="B41" s="10"/>
      <c r="C41" s="4"/>
      <c r="D41" s="11"/>
      <c r="E41" s="11"/>
      <c r="F41" s="11"/>
      <c r="G41" s="28" t="s">
        <v>65</v>
      </c>
      <c r="H41" s="63">
        <f>H38+H40</f>
        <v>163572.93124999999</v>
      </c>
      <c r="I41" s="33"/>
    </row>
    <row r="42" spans="1:9" x14ac:dyDescent="0.2">
      <c r="A42" s="32"/>
      <c r="B42" s="10"/>
      <c r="C42" s="4"/>
      <c r="D42" s="69">
        <v>0</v>
      </c>
      <c r="E42" s="11"/>
      <c r="F42" s="11"/>
      <c r="G42" s="28" t="s">
        <v>66</v>
      </c>
      <c r="H42" s="63">
        <f>D42*H41</f>
        <v>0</v>
      </c>
      <c r="I42" s="33"/>
    </row>
    <row r="43" spans="1:9" x14ac:dyDescent="0.2">
      <c r="A43" s="32"/>
      <c r="B43" s="10"/>
      <c r="C43" s="4"/>
      <c r="D43" s="11"/>
      <c r="E43" s="11"/>
      <c r="F43" s="11"/>
      <c r="G43" s="11"/>
      <c r="H43" s="12"/>
      <c r="I43" s="33"/>
    </row>
    <row r="44" spans="1:9" x14ac:dyDescent="0.2">
      <c r="A44" s="32"/>
      <c r="B44" s="10"/>
      <c r="C44" s="4"/>
      <c r="D44" s="11"/>
      <c r="E44" s="11"/>
      <c r="F44" s="11"/>
      <c r="H44" s="12"/>
      <c r="I44" s="33"/>
    </row>
    <row r="45" spans="1:9" x14ac:dyDescent="0.2">
      <c r="A45" s="32"/>
      <c r="B45" s="10"/>
      <c r="C45" s="4"/>
      <c r="D45" s="11"/>
      <c r="E45" s="11"/>
      <c r="F45" s="40"/>
      <c r="G45" s="41" t="s">
        <v>67</v>
      </c>
      <c r="H45" s="72">
        <f>H41+H42</f>
        <v>163572.93124999999</v>
      </c>
      <c r="I45" s="33"/>
    </row>
    <row r="46" spans="1:9" x14ac:dyDescent="0.2">
      <c r="A46" s="32"/>
      <c r="B46" s="10"/>
      <c r="C46" s="4"/>
      <c r="D46" s="11"/>
      <c r="E46" s="11"/>
      <c r="F46" s="40"/>
      <c r="G46" s="41" t="s">
        <v>68</v>
      </c>
      <c r="H46" s="72">
        <f>(H16+H22+(H36*H10))</f>
        <v>158124.32218529787</v>
      </c>
      <c r="I46" s="33"/>
    </row>
    <row r="47" spans="1:9" ht="12" thickBot="1" x14ac:dyDescent="0.25">
      <c r="A47" s="37"/>
      <c r="B47" s="38"/>
      <c r="C47" s="38"/>
      <c r="D47" s="38"/>
      <c r="E47" s="38"/>
      <c r="F47" s="38"/>
      <c r="G47" s="38"/>
      <c r="H47" s="38"/>
      <c r="I47" s="39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29AA8B-B868-4CAA-9CAC-4C755A2A3C38}">
          <x14:formula1>
            <xm:f>'Factor Socioeconómico'!$C$3:$C$17</xm:f>
          </x14:formula1>
          <xm:sqref>F10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RESUMEN SIST. FV On Grid</vt:lpstr>
      <vt:lpstr>Est. Techo</vt:lpstr>
      <vt:lpstr>Est. Suelo</vt:lpstr>
      <vt:lpstr>Fund. Hormigon</vt:lpstr>
      <vt:lpstr>Fund. Tornillo</vt:lpstr>
      <vt:lpstr>Paneles Techo H&lt; 4m</vt:lpstr>
      <vt:lpstr>Paneles Techo H&gt;4m</vt:lpstr>
      <vt:lpstr>Paneles Suelo</vt:lpstr>
      <vt:lpstr>Inversor 3F 10-50 kVA</vt:lpstr>
      <vt:lpstr>Inversor 3F 50-100kVA</vt:lpstr>
      <vt:lpstr>Inversor 1F</vt:lpstr>
      <vt:lpstr>Micro Inv.</vt:lpstr>
      <vt:lpstr>Pasillo Técnico</vt:lpstr>
      <vt:lpstr>Canalización DC</vt:lpstr>
      <vt:lpstr>Canalización DC Sot.</vt:lpstr>
      <vt:lpstr>T. AC 1F 1-10kW</vt:lpstr>
      <vt:lpstr>T. AC 3F 8-50kVA</vt:lpstr>
      <vt:lpstr>T. AC 3F 50-100kVA</vt:lpstr>
      <vt:lpstr>T. AC 3F 100-150kVA</vt:lpstr>
      <vt:lpstr>T. AC 3F 150-200kVA</vt:lpstr>
      <vt:lpstr>T. AC 3F 200-300kVA </vt:lpstr>
      <vt:lpstr>P. RI</vt:lpstr>
      <vt:lpstr>C. RI</vt:lpstr>
      <vt:lpstr>C. RI SO</vt:lpstr>
      <vt:lpstr>Medición 1 F</vt:lpstr>
      <vt:lpstr>Medidor Bidireccional 3F</vt:lpstr>
      <vt:lpstr>Medidor Bidireccional 1F</vt:lpstr>
      <vt:lpstr>MEDICIÓN 3F DIRECTA</vt:lpstr>
      <vt:lpstr>MEDICIÓN 3F INDIRECTA</vt:lpstr>
      <vt:lpstr>MEDICIÓN 3F Semi directa</vt:lpstr>
      <vt:lpstr>Factor Socioeconómico</vt:lpstr>
      <vt:lpstr>'C. RI'!Área_de_impresión</vt:lpstr>
      <vt:lpstr>'C. RI SO'!Área_de_impresión</vt:lpstr>
      <vt:lpstr>'Canalización DC'!Área_de_impresión</vt:lpstr>
      <vt:lpstr>'Canalización DC Sot.'!Área_de_impresión</vt:lpstr>
      <vt:lpstr>'Est. Suelo'!Área_de_impresión</vt:lpstr>
      <vt:lpstr>'Est. Techo'!Área_de_impresión</vt:lpstr>
      <vt:lpstr>'Fund. Hormigon'!Área_de_impresión</vt:lpstr>
      <vt:lpstr>'Fund. Tornillo'!Área_de_impresión</vt:lpstr>
      <vt:lpstr>'Inversor 1F'!Área_de_impresión</vt:lpstr>
      <vt:lpstr>'Inversor 3F 10-50 kVA'!Área_de_impresión</vt:lpstr>
      <vt:lpstr>'Inversor 3F 50-100kVA'!Área_de_impresión</vt:lpstr>
      <vt:lpstr>'Medición 1 F'!Área_de_impresión</vt:lpstr>
      <vt:lpstr>'MEDICIÓN 3F DIRECTA'!Área_de_impresión</vt:lpstr>
      <vt:lpstr>'MEDICIÓN 3F INDIRECTA'!Área_de_impresión</vt:lpstr>
      <vt:lpstr>'MEDICIÓN 3F Semi directa'!Área_de_impresión</vt:lpstr>
      <vt:lpstr>'Medidor Bidireccional 1F'!Área_de_impresión</vt:lpstr>
      <vt:lpstr>'Medidor Bidireccional 3F'!Área_de_impresión</vt:lpstr>
      <vt:lpstr>'Micro Inv.'!Área_de_impresión</vt:lpstr>
      <vt:lpstr>'P. RI'!Área_de_impresión</vt:lpstr>
      <vt:lpstr>'Paneles Suelo'!Área_de_impresión</vt:lpstr>
      <vt:lpstr>'Paneles Techo H&lt; 4m'!Área_de_impresión</vt:lpstr>
      <vt:lpstr>'Paneles Techo H&gt;4m'!Área_de_impresión</vt:lpstr>
      <vt:lpstr>'Pasillo Técnico'!Área_de_impresión</vt:lpstr>
      <vt:lpstr>'RESUMEN SIST. FV On Grid'!Área_de_impresión</vt:lpstr>
      <vt:lpstr>'T. AC 1F 1-10kW'!Área_de_impresión</vt:lpstr>
      <vt:lpstr>'T. AC 3F 100-150kVA'!Área_de_impresión</vt:lpstr>
      <vt:lpstr>'T. AC 3F 150-200kVA'!Área_de_impresión</vt:lpstr>
      <vt:lpstr>'T. AC 3F 200-300kVA '!Área_de_impresión</vt:lpstr>
      <vt:lpstr>'T. AC 3F 50-100kVA'!Área_de_impresión</vt:lpstr>
      <vt:lpstr>'T. AC 3F 8-50kVA'!Área_de_impresión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Muñoz</dc:creator>
  <cp:keywords/>
  <dc:description/>
  <cp:lastModifiedBy>Valentina VM. Mulchi</cp:lastModifiedBy>
  <cp:revision/>
  <dcterms:created xsi:type="dcterms:W3CDTF">2019-04-22T12:49:28Z</dcterms:created>
  <dcterms:modified xsi:type="dcterms:W3CDTF">2024-09-13T15:27:15Z</dcterms:modified>
  <cp:category/>
  <cp:contentStatus/>
</cp:coreProperties>
</file>